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1.xml" ContentType="application/vnd.openxmlformats-officedocument.spreadsheetml.tab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0.png" ContentType="image/png"/>
  <Override PartName="/xl/media/image6.png" ContentType="image/png"/>
  <Override PartName="/xl/media/image7.png" ContentType="image/png"/>
  <Override PartName="/xl/media/image8.png" ContentType="image/png"/>
  <Override PartName="/xl/media/image9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- OBRA" sheetId="1" state="visible" r:id="rId2"/>
    <sheet name="COMPOSIÇÕES" sheetId="2" state="visible" r:id="rId3"/>
    <sheet name="CRONOGRAMA - OBRA" sheetId="3" state="visible" r:id="rId4"/>
    <sheet name="BDI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<sst xmlns="http://schemas.openxmlformats.org/spreadsheetml/2006/main" count="1936" uniqueCount="1067">
  <si>
    <t xml:space="preserve">UNIVERSIDADE ESTADUAL DO NORTE DO PARANÁ</t>
  </si>
  <si>
    <t xml:space="preserve">CNPJ: 08.885.100/0001-54</t>
  </si>
  <si>
    <t xml:space="preserve">BDI</t>
  </si>
  <si>
    <t xml:space="preserve">OBRA : REFORMA DO ANEXO III</t>
  </si>
  <si>
    <t xml:space="preserve">Local: REITORIA</t>
  </si>
  <si>
    <t xml:space="preserve">Total S/BDI</t>
  </si>
  <si>
    <t xml:space="preserve">Data do orçamento: OUTUBRO DE 2022</t>
  </si>
  <si>
    <t xml:space="preserve">Total c/BDI</t>
  </si>
  <si>
    <t xml:space="preserve">SINAPI_Custo_Ref_Composicoes_Analitico_PR_202207_Desonerado</t>
  </si>
  <si>
    <t xml:space="preserve">RESP. TÉCNICO:
FELIPE SCALA FRANCICA
ENGENHEIRO CIVIL CREA SP 5069900657</t>
  </si>
  <si>
    <t xml:space="preserve">ITEM</t>
  </si>
  <si>
    <t xml:space="preserve">RESUMO</t>
  </si>
  <si>
    <t xml:space="preserve">CÓDIGO</t>
  </si>
  <si>
    <t xml:space="preserve">DESCRIÇÃO DOS SERVIÇOS</t>
  </si>
  <si>
    <t xml:space="preserve">UN</t>
  </si>
  <si>
    <t xml:space="preserve">QTD</t>
  </si>
  <si>
    <t xml:space="preserve">UNITÁRIO (SEM BDI)</t>
  </si>
  <si>
    <t xml:space="preserve">TOTAL (Valores sem BDI)</t>
  </si>
  <si>
    <t xml:space="preserve">VALOR TOTAL C/ BDI</t>
  </si>
  <si>
    <t xml:space="preserve">MATERIAL + EQ</t>
  </si>
  <si>
    <t xml:space="preserve">MÃO DE OBRA</t>
  </si>
  <si>
    <t xml:space="preserve">TOTAL</t>
  </si>
  <si>
    <t xml:space="preserve">MATERIAL</t>
  </si>
  <si>
    <t xml:space="preserve">1</t>
  </si>
  <si>
    <t xml:space="preserve">DEMOLIÇÕES</t>
  </si>
  <si>
    <t xml:space="preserve">1.1</t>
  </si>
  <si>
    <t xml:space="preserve">DEMOLIÇÃO DE MUROS </t>
  </si>
  <si>
    <t xml:space="preserve">97625</t>
  </si>
  <si>
    <t xml:space="preserve">DEMOLIÇÃO DE ALVENARIA PARA QUALQUER TIPO DE BLOCO, DE FORMA MECANIZADA, SEM REAPROVEITAMENTO. AF_12/2017</t>
  </si>
  <si>
    <t xml:space="preserve">m³</t>
  </si>
  <si>
    <t xml:space="preserve">1.2</t>
  </si>
  <si>
    <t xml:space="preserve">DEMOLIÇÃO DA ESTRUTURA </t>
  </si>
  <si>
    <t xml:space="preserve">M³</t>
  </si>
  <si>
    <t xml:space="preserve">1.3</t>
  </si>
  <si>
    <t xml:space="preserve">DEMOLIÇÃO DO PISOS E CALÇADAS 130 M²</t>
  </si>
  <si>
    <t xml:space="preserve">97631</t>
  </si>
  <si>
    <t xml:space="preserve">DEMOLIÇÃO DE ARGAMASSAS, DE FORMA MANUAL, SEM REAPROVEITAMENTO. AF_12/2017</t>
  </si>
  <si>
    <t xml:space="preserve">M²</t>
  </si>
  <si>
    <t xml:space="preserve">1.4</t>
  </si>
  <si>
    <t xml:space="preserve">REMOÇÃO DE ESQUADRIAS - JANELAS</t>
  </si>
  <si>
    <t xml:space="preserve">97645</t>
  </si>
  <si>
    <t xml:space="preserve">REMOÇÃO DE JANELAS, DE FORMA MANUAL, SEM REAPROVEITAMENTO. AF_12/2017</t>
  </si>
  <si>
    <t xml:space="preserve">1.5</t>
  </si>
  <si>
    <t xml:space="preserve">REMOÇÃO DE ESQUADRIAS - PORTAS</t>
  </si>
  <si>
    <t xml:space="preserve">97644</t>
  </si>
  <si>
    <t xml:space="preserve">REMOÇÃO DE PORTAS, DE FORMA MANUAL, SEM REAPROVEITAMENTO. AF_12/2017</t>
  </si>
  <si>
    <t xml:space="preserve">1.6</t>
  </si>
  <si>
    <t xml:space="preserve">REMOÇÃO DO TELHADO/FORRO</t>
  </si>
  <si>
    <t xml:space="preserve">97650</t>
  </si>
  <si>
    <t xml:space="preserve">REMOÇÃO DE TRAMA DE MADEIRA PARA COBERTURA, DE FORMA MANUAL, SEM REAPROVEITAMENTO. AF_12/2017</t>
  </si>
  <si>
    <t xml:space="preserve">1.7</t>
  </si>
  <si>
    <t xml:space="preserve">REMOÇÃO DO TELHADO </t>
  </si>
  <si>
    <t xml:space="preserve">97647</t>
  </si>
  <si>
    <t xml:space="preserve">REMOÇÃO DE TELHAS, DE FIBROCIMENTO, METÁLICA E CERÂMICA, DE FORMA MANUAL, SEM REAPROVEITAMENTO. AF_12/2017</t>
  </si>
  <si>
    <t xml:space="preserve">2</t>
  </si>
  <si>
    <t xml:space="preserve">EXTERNO</t>
  </si>
  <si>
    <t xml:space="preserve">2.1</t>
  </si>
  <si>
    <t xml:space="preserve">FECHAMENTO DE ABERTURAS</t>
  </si>
  <si>
    <t xml:space="preserve">103334</t>
  </si>
  <si>
    <t xml:space="preserve">ALVENARIA DE VEDAÇÃO DE BLOCOS CERÂMICOS FURADOS NA HORIZONTAL DE 14X9X19 CM (ESPESSURA 14 CM, BLOCO DEITADO) E ARGAMASSA DE ASSENTAMENTO COM PREPARO EM BETONEIRA. AF_12/2021</t>
  </si>
  <si>
    <t xml:space="preserve">2.2</t>
  </si>
  <si>
    <t xml:space="preserve">ACABAMENTO - CHAPISCO</t>
  </si>
  <si>
    <t xml:space="preserve">87879</t>
  </si>
  <si>
    <t xml:space="preserve">CHAPISCO APLICADO EM ALVENARIAS E ESTRUTURAS DE CONCRETO INTERNAS, COM COLHER DE PEDREIRO.  ARGAMASSA TRAÇO 1:3 COM PREPARO EM BETONEIRA 400L. AF_06/2014</t>
  </si>
  <si>
    <t xml:space="preserve">2.3</t>
  </si>
  <si>
    <t xml:space="preserve">ACABAMENTO - MASSA ÚNICA</t>
  </si>
  <si>
    <t xml:space="preserve">87529</t>
  </si>
  <si>
    <t xml:space="preserve">MASSA ÚNICA, PARA RECEBIMENTO DE PINTURA, EM ARGAMASSA TRAÇO 1:2:8, PREPARO MECÂNICO COM BETONEIRA 400L, APLICADA MANUALMENTE EM FACES INTERNAS DE PAREDES, ESPESSURA DE 20MM, COM EXECUÇÃO DE TALISCAS. AF_06/2014</t>
  </si>
  <si>
    <t xml:space="preserve">2.4</t>
  </si>
  <si>
    <t xml:space="preserve">MURO DUAS CASAS - PREPARO PARA PINTURA</t>
  </si>
  <si>
    <t xml:space="preserve">02344/ORSE</t>
  </si>
  <si>
    <t xml:space="preserve">PREPARO DE SUPERFÍCIE COM LIXAMENTO DE PAREDES E TETOS</t>
  </si>
  <si>
    <t xml:space="preserve">2.5</t>
  </si>
  <si>
    <t xml:space="preserve">MURO DUAS CASAS - FUNDO SELADOR</t>
  </si>
  <si>
    <t xml:space="preserve">88412</t>
  </si>
  <si>
    <t xml:space="preserve">APLICAÇÃO MANUAL DE FUNDO SELADOR ACRÍLICO EM PANOS CEGOS DE FACHADA (SEM PRESENÇA DE VÃOS) DE EDIFÍCIOS DE MÚLTIPLOS PAVIMENTOS. AF_06/2014</t>
  </si>
  <si>
    <t xml:space="preserve">2.6</t>
  </si>
  <si>
    <t xml:space="preserve">MURO DUAS CASAS - PINTURA</t>
  </si>
  <si>
    <t xml:space="preserve">88489</t>
  </si>
  <si>
    <t xml:space="preserve">APLICAÇÃO MANUAL DE PINTURA COM TINTA LÁTEX ACRÍLICA EM PAREDES, DUAS DEMÃOS. AF_06/2014</t>
  </si>
  <si>
    <t xml:space="preserve">2.7</t>
  </si>
  <si>
    <t xml:space="preserve">PINTURA DO PORTÃO - PREPARO</t>
  </si>
  <si>
    <t xml:space="preserve">100717
ADAPTADO</t>
  </si>
  <si>
    <t xml:space="preserve">LIXAMENTO MANUAL EM SUPERFÍCIES METÁLICAS EM OBRA. AF_01/2020</t>
  </si>
  <si>
    <t xml:space="preserve">m²</t>
  </si>
  <si>
    <t xml:space="preserve">2.8</t>
  </si>
  <si>
    <t xml:space="preserve">PINTURA DO PORTÃO - TINTA</t>
  </si>
  <si>
    <t xml:space="preserve">100753
ADAPTADO</t>
  </si>
  <si>
    <t xml:space="preserve">(ADAPTADO PARA MADEIRA)
PINTURA COM TINTA ACRÍLICA DE ACABAMENTO APLICADA A ROLO OU PINCEL SOBRE SUPERFÍCIES METÁLICAS (EXCETO PERFIL) EXECUTADO EM OBRA (02 DEMÃOS). AF_01/2019</t>
  </si>
  <si>
    <t xml:space="preserve">2.9</t>
  </si>
  <si>
    <t xml:space="preserve">FECHADURA PARA PORTÃO</t>
  </si>
  <si>
    <t xml:space="preserve">91304</t>
  </si>
  <si>
    <t xml:space="preserve">FECHADURA DE EMBUTIR COM CILINDRO, EXTERNA, COMPLETA, ACABAMENTO PADRÃO POPULAR, INCLUSO EXECUÇÃO DE FURO - FORNECIMENTO E INSTALAÇÃO. AF_12/2019</t>
  </si>
  <si>
    <t xml:space="preserve">un</t>
  </si>
  <si>
    <t xml:space="preserve">2.10</t>
  </si>
  <si>
    <t xml:space="preserve">PINTURA EXTERNA - ANEXO 3
FACHADA - ANEXO 1</t>
  </si>
  <si>
    <t xml:space="preserve">2.11</t>
  </si>
  <si>
    <t xml:space="preserve">2.12</t>
  </si>
  <si>
    <t xml:space="preserve">2.13</t>
  </si>
  <si>
    <t xml:space="preserve">PORTÃO INTERNO</t>
  </si>
  <si>
    <t xml:space="preserve">09290/ORSE</t>
  </si>
  <si>
    <t xml:space="preserve">Portão de ferro de abrir, quadro em tubo de aço galv.1 1/2", barra quadrada 1/2" na vertical e barra chata de 1 x 3/16" na horizontal, inclusive dobradiças e e ferrolho</t>
  </si>
  <si>
    <t xml:space="preserve">2.14</t>
  </si>
  <si>
    <t xml:space="preserve">ATERROS - PISCINA E ESCADA</t>
  </si>
  <si>
    <t xml:space="preserve">94319</t>
  </si>
  <si>
    <t xml:space="preserve">ATERRO MANUAL DE VALAS COM SOLO ARGILO-ARENOSO E COMPACTAÇÃO MECANIZADA. AF_05/2016</t>
  </si>
  <si>
    <t xml:space="preserve">2.15</t>
  </si>
  <si>
    <t xml:space="preserve">CALÇADAS DE ACESSOS INCLUSIVE RAMPAS E=5CM</t>
  </si>
  <si>
    <t xml:space="preserve">94991</t>
  </si>
  <si>
    <t xml:space="preserve">EXECUÇÃO DE PASSEIO (CALÇADA) OU PISO DE CONCRETO COM CONCRETO MOLDADO IN LOCO, USINADO, ACABAMENTO CONVENCIONAL, NÃO ARMADO. AF_07/2016</t>
  </si>
  <si>
    <t xml:space="preserve">3</t>
  </si>
  <si>
    <t xml:space="preserve">REFORMAS E ADEQUAÇÕES INTERNAS </t>
  </si>
  <si>
    <t xml:space="preserve">3.1</t>
  </si>
  <si>
    <t xml:space="preserve">CRI 01</t>
  </si>
  <si>
    <t xml:space="preserve">3.1.1</t>
  </si>
  <si>
    <t xml:space="preserve">REMOÇÃO DE PORTA - 2UN</t>
  </si>
  <si>
    <t xml:space="preserve">3.1.2</t>
  </si>
  <si>
    <t xml:space="preserve">REMOÇÃO DO PISO DE TACO</t>
  </si>
  <si>
    <t xml:space="preserve">97643</t>
  </si>
  <si>
    <t xml:space="preserve">REMOÇÃO DE PISO DE MADEIRA (ASSOALHO E BARROTE), DE FORMA MANUAL, SEM REAPROVEITAMENTO. AF_12/2017</t>
  </si>
  <si>
    <t xml:space="preserve">3.1.3</t>
  </si>
  <si>
    <t xml:space="preserve">ABERTURA DE PASSAGENS</t>
  </si>
  <si>
    <t xml:space="preserve">97622</t>
  </si>
  <si>
    <t xml:space="preserve">DEMOLIÇÃO DE ALVENARIA DE BLOCO FURADO, DE FORMA MANUAL, SEM REAPROVEITAMENTO. AF_12/2017</t>
  </si>
  <si>
    <t xml:space="preserve">3.1.4</t>
  </si>
  <si>
    <t xml:space="preserve">REMOÇÃO DO RODAPÉ</t>
  </si>
  <si>
    <t xml:space="preserve">97632
ADAPTADO</t>
  </si>
  <si>
    <t xml:space="preserve">(ADAPTADO PARA RODAPÉ EM MADEIRA)
DEMOLIÇÃO DE RODAPÉ CERÂMICO, DE FORMA MANUAL, SEM REAPROVEITAMENTO. AF_12/2017</t>
  </si>
  <si>
    <t xml:space="preserve">3.1.5</t>
  </si>
  <si>
    <t xml:space="preserve">VERGA PARA PORTA</t>
  </si>
  <si>
    <t xml:space="preserve">93197</t>
  </si>
  <si>
    <t xml:space="preserve">CONTRAVERGA MOLDADA IN LOCO EM CONCRETO PARA VÃOS DE MAIS DE 1,5 M DE COMPRIMENTO. AF_03/2016</t>
  </si>
  <si>
    <t xml:space="preserve">m</t>
  </si>
  <si>
    <t xml:space="preserve">3.1.6</t>
  </si>
  <si>
    <t xml:space="preserve">3.1.7</t>
  </si>
  <si>
    <t xml:space="preserve">REQUADRO DAS PORTAS - CHAPISCO</t>
  </si>
  <si>
    <t xml:space="preserve">3.1.8</t>
  </si>
  <si>
    <t xml:space="preserve">REQUADRO DAS PORTAS - MASSA ÚNICA</t>
  </si>
  <si>
    <t xml:space="preserve">3.1.9</t>
  </si>
  <si>
    <t xml:space="preserve">REGULARIZAÇÃO DO PISO E RODAPÉ COM ARGAMASSA</t>
  </si>
  <si>
    <t xml:space="preserve">88628</t>
  </si>
  <si>
    <t xml:space="preserve">ARGAMASSA TRAÇO 1:3 (EM VOLUME DE CIMENTO E AREIA MÉDIA ÚMIDA), PREPARO MECÂNICO COM BETONEIRA 400 L. AF_08/2019</t>
  </si>
  <si>
    <t xml:space="preserve">3.1.10</t>
  </si>
  <si>
    <t xml:space="preserve">INSTALAÇÃO DE PISO CERÂMICO E RODAPÉ (h=10CM)</t>
  </si>
  <si>
    <t xml:space="preserve">87251</t>
  </si>
  <si>
    <t xml:space="preserve">REVESTIMENTO CERÂMICO PARA PISO COM PLACAS TIPO ESMALTADA EXTRA DE DIMENSÕES 45X45 CM APLICADA EM AMBIENTES DE ÁREA MAIOR QUE 10 M2. AF_06/2014
</t>
  </si>
  <si>
    <t xml:space="preserve">3.1.11</t>
  </si>
  <si>
    <t xml:space="preserve">FECHADURA</t>
  </si>
  <si>
    <t xml:space="preserve">91307</t>
  </si>
  <si>
    <t xml:space="preserve">FECHADURA DE EMBUTIR PARA PORTAS INTERNAS, COMPLETA, ACABAMENTO PADRÃO POPULAR, COM EXECUÇÃO DE FURO - FORNECIMENTO E INSTALAÇÃO. AF_12/2019</t>
  </si>
  <si>
    <t xml:space="preserve">3.1.12</t>
  </si>
  <si>
    <t xml:space="preserve">PORTA DE CORRER</t>
  </si>
  <si>
    <t xml:space="preserve">100702
ADAPTADO</t>
  </si>
  <si>
    <t xml:space="preserve">(ADAPTADO PARA 4 FOLHAS DE VIDRO)
PORTA DE CORRER DE ALUMÍNIO, COM DUAS FOLHAS PARA VIDRO, INCLUSO VIDRO LISO INCOLOR, FECHADURA E PUXADOR, SEM ALIZAR. AF_12/2019</t>
  </si>
  <si>
    <t xml:space="preserve">3.1.13</t>
  </si>
  <si>
    <t xml:space="preserve">PINTURA - FUNDO SELADOR</t>
  </si>
  <si>
    <t xml:space="preserve">88485</t>
  </si>
  <si>
    <t xml:space="preserve">APLICAÇÃO DE FUNDO SELADOR ACRÍLICO EM PAREDES, UMA DEMÃO. AF_06/2014</t>
  </si>
  <si>
    <t xml:space="preserve">3.1.14</t>
  </si>
  <si>
    <t xml:space="preserve">PINTURA - LÁTEX</t>
  </si>
  <si>
    <t xml:space="preserve">3.1.15</t>
  </si>
  <si>
    <t xml:space="preserve">PINTURA DE ESQUADRIAS - LIXAMENTO</t>
  </si>
  <si>
    <t xml:space="preserve">100717</t>
  </si>
  <si>
    <t xml:space="preserve">3.1.16</t>
  </si>
  <si>
    <t xml:space="preserve">PINTURA DE ESQUADRIAS - PORTAS</t>
  </si>
  <si>
    <t xml:space="preserve">100754
ADAPTADO</t>
  </si>
  <si>
    <t xml:space="preserve">(ADAPTADO PARA MADEIRA)
PINTURA COM TINTA ACRÍLICA DE ACABAMENTO APLICADA A ROLO OU PINCEL SOBRE SUPERFÍCIES METÁLICAS (EXCETO PERFIL) EXECUTADO EM OBRA (02 DEMÃOS). AF_01/2020</t>
  </si>
  <si>
    <t xml:space="preserve">3.1.17</t>
  </si>
  <si>
    <t xml:space="preserve">PINTURA DE ESQUADRIAS - JANELA</t>
  </si>
  <si>
    <t xml:space="preserve">100754</t>
  </si>
  <si>
    <t xml:space="preserve">PINTURA COM TINTA ACRÍLICA DE ACABAMENTO APLICADA A ROLO OU PINCEL SOBRE SUPERFÍCIES METÁLICAS (EXCETO PERFIL) EXECUTADO EM OBRA (02 DEMÃOS). AF_01/2020</t>
  </si>
  <si>
    <t xml:space="preserve">3.1.18</t>
  </si>
  <si>
    <t xml:space="preserve">VIDRO PARA JANELAS</t>
  </si>
  <si>
    <t xml:space="preserve">102152</t>
  </si>
  <si>
    <t xml:space="preserve">INSTALAÇÃO DE VIDRO LISO, E = 4 MM, EM ESQUADRIA DE MADEIRA, FIXADO COM BAGUETE. AF_01/2021</t>
  </si>
  <si>
    <t xml:space="preserve">3.1.19</t>
  </si>
  <si>
    <t xml:space="preserve">SOLEIRA - PORTA DE ENTRADA</t>
  </si>
  <si>
    <t xml:space="preserve">98689</t>
  </si>
  <si>
    <t xml:space="preserve">SOLEIRA EM GRANITO, LARGURA 15 CM, ESPESSURA 2,0 CM. AF_09/2020</t>
  </si>
  <si>
    <t xml:space="preserve">3.2</t>
  </si>
  <si>
    <t xml:space="preserve">PROPG 01</t>
  </si>
  <si>
    <t xml:space="preserve">3.2.1</t>
  </si>
  <si>
    <t xml:space="preserve">DEMOLIÇÃO DE ALVENARIAS</t>
  </si>
  <si>
    <t xml:space="preserve">97621</t>
  </si>
  <si>
    <t xml:space="preserve">DEMOLIÇÃO DE ALVENARIA DE BLOCO FURADO, DE FORMA MANUAL, COM REAPROVEITAMENTO. AF_12/2017</t>
  </si>
  <si>
    <t xml:space="preserve">3.2.2</t>
  </si>
  <si>
    <t xml:space="preserve">REMOÇÃO DE PORTAS</t>
  </si>
  <si>
    <t xml:space="preserve">3.2.3</t>
  </si>
  <si>
    <t xml:space="preserve">REMOÇÃO DE JANELA</t>
  </si>
  <si>
    <t xml:space="preserve">3.2.4</t>
  </si>
  <si>
    <t xml:space="preserve">REMOÇÃO DE ARMÁRIO EMBUTIDO</t>
  </si>
  <si>
    <t xml:space="preserve">97637
ADAPTADO</t>
  </si>
  <si>
    <t xml:space="preserve">(ADAPTADO PARA ARMÁRIO)
REMOÇÃO DE TAPUME/ CHAPAS METÁLICAS E DE MADEIRA, DE FORMA MANUAL, SEM REAPROVEITAMENTO. AF_12/2017</t>
  </si>
  <si>
    <t xml:space="preserve">3.2.5</t>
  </si>
  <si>
    <t xml:space="preserve">REMOÇÃO DO PISO DE TACO E RODAPÉ</t>
  </si>
  <si>
    <t xml:space="preserve">3.2.6</t>
  </si>
  <si>
    <t xml:space="preserve">REMOÇÃO DE PISO CERÂMICO</t>
  </si>
  <si>
    <t xml:space="preserve">97633</t>
  </si>
  <si>
    <t xml:space="preserve">DEMOLIÇÃO DE REVESTIMENTO CERÂMICO, DE FORMA MANUAL, SEM REAPROVEITAMENTO. AF_12/2017</t>
  </si>
  <si>
    <t xml:space="preserve">3.2.7</t>
  </si>
  <si>
    <t xml:space="preserve">REMOÇÃO DE REVESTIMENTO CERÂMICO - PAREDES</t>
  </si>
  <si>
    <t xml:space="preserve">3.2.8</t>
  </si>
  <si>
    <t xml:space="preserve">REMOÇÃO DE FORRO EM PVC</t>
  </si>
  <si>
    <t xml:space="preserve">97640</t>
  </si>
  <si>
    <t xml:space="preserve">REMOÇÃO DE FORROS DE DRYWALL, PVC E FIBROMINERAL, DE FORMA MANUAL, SEM REAPROVEITAMENTO. AF_12/2017</t>
  </si>
  <si>
    <t xml:space="preserve">3.2.9</t>
  </si>
  <si>
    <t xml:space="preserve">3.2.10</t>
  </si>
  <si>
    <t xml:space="preserve">3.2.11</t>
  </si>
  <si>
    <t xml:space="preserve">VERGA PARA NOVA JANELA</t>
  </si>
  <si>
    <t xml:space="preserve">3.2.12</t>
  </si>
  <si>
    <t xml:space="preserve">REGULARIZAÇÃO DA PAREDE - CHAPISCO</t>
  </si>
  <si>
    <t xml:space="preserve">3.2.13</t>
  </si>
  <si>
    <t xml:space="preserve">REGULARIZAÇÃO DA PAREDE - EMBOÇO</t>
  </si>
  <si>
    <t xml:space="preserve">3.2.14</t>
  </si>
  <si>
    <t xml:space="preserve">3.2.15</t>
  </si>
  <si>
    <t xml:space="preserve">3.2.16</t>
  </si>
  <si>
    <t xml:space="preserve">FORRO EM PVC</t>
  </si>
  <si>
    <t xml:space="preserve">96111</t>
  </si>
  <si>
    <t xml:space="preserve">FORRO EM RÉGUAS DE PVC, FRISADO, PARA AMBIENTES RESIDENCIAIS, INCLUSIVE ESTRUTURA DE FIXAÇÃO. AF_05/2017_P</t>
  </si>
  <si>
    <t xml:space="preserve">3.2.17</t>
  </si>
  <si>
    <t xml:space="preserve">RODAFORRO</t>
  </si>
  <si>
    <t xml:space="preserve">96121</t>
  </si>
  <si>
    <t xml:space="preserve">ACABAMENTOS PARA FORRO (RODA-FORRO EM PERFIL METÁLICO E PLÁSTICO). AF_05/2017</t>
  </si>
  <si>
    <t xml:space="preserve">3.2.18</t>
  </si>
  <si>
    <t xml:space="preserve">JANELA EM BLINDEX - 1,5X1,2M</t>
  </si>
  <si>
    <t xml:space="preserve">94573</t>
  </si>
  <si>
    <t xml:space="preserve">JANELA DE ALUMÍNIO DE CORRER COM 4 FOLHAS PARA VIDROS, COM VIDROS, BATENTE, ACABAMENTO COM ACETATO OU BRILHANTE E FERRAGENS. EXCLUSIVE ALIZAR E CONTRAMARCO. FORNECIMENTO E INSTALAÇÃO. AF_12/2019</t>
  </si>
  <si>
    <t xml:space="preserve">3.2.19</t>
  </si>
  <si>
    <t xml:space="preserve">3.2.20</t>
  </si>
  <si>
    <t xml:space="preserve">3.2.21</t>
  </si>
  <si>
    <t xml:space="preserve">3.3</t>
  </si>
  <si>
    <t xml:space="preserve">PROPG 2, 3 E 4</t>
  </si>
  <si>
    <t xml:space="preserve">3.3.1</t>
  </si>
  <si>
    <t xml:space="preserve">3.3.2</t>
  </si>
  <si>
    <t xml:space="preserve">REMOÇÃO DE PORTA</t>
  </si>
  <si>
    <t xml:space="preserve">3.3.3</t>
  </si>
  <si>
    <t xml:space="preserve">3.3.4</t>
  </si>
  <si>
    <t xml:space="preserve">3.3.5</t>
  </si>
  <si>
    <t xml:space="preserve">REMOÇÃO DO PISO CERÂMICO</t>
  </si>
  <si>
    <t xml:space="preserve">3.3.6</t>
  </si>
  <si>
    <t xml:space="preserve">3.3.7</t>
  </si>
  <si>
    <t xml:space="preserve">3.3.8</t>
  </si>
  <si>
    <t xml:space="preserve">DEMOLIÇÃO DE ALVENARIA - PAREDES E BANCADA DA COPA</t>
  </si>
  <si>
    <t xml:space="preserve">3.3.9</t>
  </si>
  <si>
    <t xml:space="preserve">VERGAS</t>
  </si>
  <si>
    <t xml:space="preserve">3.3.10</t>
  </si>
  <si>
    <t xml:space="preserve">3.3.11</t>
  </si>
  <si>
    <t xml:space="preserve">3.3.12</t>
  </si>
  <si>
    <t xml:space="preserve">FECHAMENTOS EM ALVENARIA</t>
  </si>
  <si>
    <t xml:space="preserve">3.3.13</t>
  </si>
  <si>
    <t xml:space="preserve">REGULARIZAÇÃO DE PAREDE - CHAPISCO</t>
  </si>
  <si>
    <t xml:space="preserve">3.3.14</t>
  </si>
  <si>
    <t xml:space="preserve">REGULARIZAÇÃO DE PAREDE - MASSA ÚNICA</t>
  </si>
  <si>
    <t xml:space="preserve">3.3.15</t>
  </si>
  <si>
    <t xml:space="preserve">3.3.16</t>
  </si>
  <si>
    <t xml:space="preserve">3.3.17</t>
  </si>
  <si>
    <t xml:space="preserve">3.3.18</t>
  </si>
  <si>
    <t xml:space="preserve">PORTA DE ENTRADA - BLINDEX</t>
  </si>
  <si>
    <t xml:space="preserve">102182</t>
  </si>
  <si>
    <t xml:space="preserve">PORTA PIVOTANTE DE VIDRO TEMPERADO, 90X210 CM, ESPESSURA 10 MM, INCLUSIVE ACESSÓRIOS. AF_01/2021</t>
  </si>
  <si>
    <t xml:space="preserve">3.3.19</t>
  </si>
  <si>
    <t xml:space="preserve">3.3.20</t>
  </si>
  <si>
    <t xml:space="preserve">3.4</t>
  </si>
  <si>
    <t xml:space="preserve">HALL DE ENTRADA E SANITÁRIOS</t>
  </si>
  <si>
    <t xml:space="preserve">3.4.1</t>
  </si>
  <si>
    <t xml:space="preserve">DEMOLIÇÃO DA CASA DE GÁS</t>
  </si>
  <si>
    <t xml:space="preserve">3.4.2</t>
  </si>
  <si>
    <t xml:space="preserve">DEMOLIÇÃO DE PISO CERÂMICO E RODAPÉ</t>
  </si>
  <si>
    <t xml:space="preserve">3.4.3</t>
  </si>
  <si>
    <t xml:space="preserve">REMOÇÃO DE REVESTIMENTO CERÂMICO</t>
  </si>
  <si>
    <t xml:space="preserve">3.4.4</t>
  </si>
  <si>
    <t xml:space="preserve">REMOÇÃO DE JANELAS</t>
  </si>
  <si>
    <t xml:space="preserve">3.4.5</t>
  </si>
  <si>
    <t xml:space="preserve">REMOÇÃO DE LOUÇAS</t>
  </si>
  <si>
    <t xml:space="preserve">97663</t>
  </si>
  <si>
    <t xml:space="preserve">REMOÇÃO DE LOUÇAS, DE FORMA MANUAL, SEM REAPROVEITAMENTO. AF_12/2017</t>
  </si>
  <si>
    <t xml:space="preserve">3.4.6</t>
  </si>
  <si>
    <t xml:space="preserve">ABERTURAS NAS ALVENARIAS</t>
  </si>
  <si>
    <t xml:space="preserve">3.4.7</t>
  </si>
  <si>
    <t xml:space="preserve">REGULARIZAÇÃO DO PISO</t>
  </si>
  <si>
    <t xml:space="preserve">3.4.8</t>
  </si>
  <si>
    <t xml:space="preserve">PAREDES EM ALVENARIA</t>
  </si>
  <si>
    <t xml:space="preserve">103333</t>
  </si>
  <si>
    <t xml:space="preserve">ALVENARIA DE VEDAÇÃO DE BLOCOS CERÂMICOS FURADOS NA HORIZONTAL DE 9X14X19 CM (ESPESSURA 9 CM) E ARGAMASSA DE ASSENTAMENTO COM PREPARO MANUAL. AF_12/2021</t>
  </si>
  <si>
    <t xml:space="preserve">R$ 0,00</t>
  </si>
  <si>
    <t xml:space="preserve">R$ 352,94</t>
  </si>
  <si>
    <t xml:space="preserve">R$ 705,87</t>
  </si>
  <si>
    <t xml:space="preserve">3.4.9</t>
  </si>
  <si>
    <t xml:space="preserve">3.4.10</t>
  </si>
  <si>
    <t xml:space="preserve">ALVENARIA DE VEDAÇÃO COM ELEMENTO VAZADO - COBOGÓ</t>
  </si>
  <si>
    <t xml:space="preserve">COMP. 04</t>
  </si>
  <si>
    <t xml:space="preserve">ALVENARIA DE VEDAÇÃO COM ELEMENTO VAZADO DE CERÂMICA (COBOGÓ) DE 7X18X18, MODELO FLOR, E ARGAMASSA DE ASSENTAMENTO COM PREPARO EM BETONEIRA.  </t>
  </si>
  <si>
    <t xml:space="preserve">3.4.11</t>
  </si>
  <si>
    <t xml:space="preserve">FECHAMENTO DE JANELAS</t>
  </si>
  <si>
    <t xml:space="preserve">3.4.12</t>
  </si>
  <si>
    <t xml:space="preserve">3.4.13</t>
  </si>
  <si>
    <t xml:space="preserve">3.4.14</t>
  </si>
  <si>
    <t xml:space="preserve">ACABAMENTO DO PISO - CIMENTO QUEIMADO</t>
  </si>
  <si>
    <t xml:space="preserve">98679</t>
  </si>
  <si>
    <t xml:space="preserve">PISO CIMENTADO, TRAÇO 1:3 (CIMENTO E AREIA), ACABAMENTO LISO, ESPESSURA 2,0 CM, PREPARO MECÂNICO DA ARGAMASSA. AF_09/2020</t>
  </si>
  <si>
    <t xml:space="preserve">3.4.15</t>
  </si>
  <si>
    <t xml:space="preserve">03733/ORSE</t>
  </si>
  <si>
    <t xml:space="preserve">PINTURA DE ACABAMENTO COM APLICAÇÃO DE 01 DEMÃO DE VERNIZ ACRÍLICO PARA PROTEÇÃO DE SUPERFÍCIES EM CONCRETO APARENTE, MARCA FOSROC, REF. DEKGUARD FS OU SIMILAR</t>
  </si>
  <si>
    <t xml:space="preserve">3.4.16</t>
  </si>
  <si>
    <t xml:space="preserve">PISO CERÂMICO - ÁREA DOS BANHEIROS</t>
  </si>
  <si>
    <t xml:space="preserve">3.4.17</t>
  </si>
  <si>
    <t xml:space="preserve">REVESTIMENTO CERÂMICO EM PAREDES - ÁREA DOS BANHEIROS (h=2,2M)</t>
  </si>
  <si>
    <t xml:space="preserve">87274</t>
  </si>
  <si>
    <t xml:space="preserve">REVESTIMENTO CERÂMICO PARA PAREDES INTERNAS COM PLACAS TIPO ESMALTADA EXTRA DE DIMENSÕES 33X45 CM APLICADAS EM AMBIENTES DE ÁREA MENOR QUE 5 M² A MEIA ALTURA DAS PAREDES. AF_06/2014</t>
  </si>
  <si>
    <t xml:space="preserve">3.4.18</t>
  </si>
  <si>
    <t xml:space="preserve">3.4.19</t>
  </si>
  <si>
    <t xml:space="preserve">3.4.20</t>
  </si>
  <si>
    <t xml:space="preserve">ACABAMENTO TETO</t>
  </si>
  <si>
    <t xml:space="preserve">88494</t>
  </si>
  <si>
    <t xml:space="preserve">APLICAÇÃO E LIXAMENTO DE MASSA LÁTEX EM TETO, UMA DEMÃO. AF_06/2014</t>
  </si>
  <si>
    <t xml:space="preserve">3.4.21</t>
  </si>
  <si>
    <t xml:space="preserve">PINTURA DO TETO - FUNDO SELADOR</t>
  </si>
  <si>
    <t xml:space="preserve">88484</t>
  </si>
  <si>
    <t xml:space="preserve">APLICAÇÃO DE FUNDO SELADOR ACRÍLICO EM TETO, UMA DEMÃO. AF_06/2014</t>
  </si>
  <si>
    <t xml:space="preserve">3.4.22</t>
  </si>
  <si>
    <t xml:space="preserve">PINTURA DO TETO - LÁTEX</t>
  </si>
  <si>
    <t xml:space="preserve">88488</t>
  </si>
  <si>
    <t xml:space="preserve">APLICAÇÃO MANUAL DE PINTURA COM TINTA LÁTEX ACRÍLICA EM TETO, DUAS DEMÃOS. AF_06/2014</t>
  </si>
  <si>
    <t xml:space="preserve">3.4.23</t>
  </si>
  <si>
    <t xml:space="preserve">JANELA MAXIM AR - 1,0X0,8M - 2UN</t>
  </si>
  <si>
    <t xml:space="preserve">94569</t>
  </si>
  <si>
    <t xml:space="preserve">JANELA DE ALUMÍNIO TIPO MAXIM-AR, COM VIDROS, BATENTE E FERRAGENS. EXCLUSIVE ALIZAR, ACABAMENTO E CONTRAMARCO. FORNECIMENTO E INSTALAÇÃO. AF_12/2019</t>
  </si>
  <si>
    <t xml:space="preserve">3.4.24</t>
  </si>
  <si>
    <t xml:space="preserve">PORTA DOS SANITÁRIOS - 0,9X2,1M - 2UN</t>
  </si>
  <si>
    <t xml:space="preserve">90797</t>
  </si>
  <si>
    <t xml:space="preserve">KIT DE PORTA-PRONTA DE MADEIRA EM ACABAMENTO MELAMÍNICO BRANCO, FOLHA LEVE OU MÉDIA, E BATENTE METÁLICO, 90X210CM, FIXAÇÃO COM ARGAMASSA - FORNECIMENTO E INSTALAÇÃO. AF_12/2019</t>
  </si>
  <si>
    <t xml:space="preserve">3.4.25</t>
  </si>
  <si>
    <t xml:space="preserve">3.4.26</t>
  </si>
  <si>
    <t xml:space="preserve">VASO SANITÁRIO</t>
  </si>
  <si>
    <t xml:space="preserve">86931</t>
  </si>
  <si>
    <t xml:space="preserve">VASO SANITÁRIO SIFONADO COM CAIXA ACOPLADA LOUÇA BRANCA, INCLUSO ENGATE FLEXÍVEL EM PLÁSTICO BRANCO, 1/2  X 40CM - FORNECIMENTO E INSTALAÇÃO. AF_01/2020</t>
  </si>
  <si>
    <t xml:space="preserve">3.4.27</t>
  </si>
  <si>
    <t xml:space="preserve">LAVATÓRIO</t>
  </si>
  <si>
    <t xml:space="preserve">86942</t>
  </si>
  <si>
    <t xml:space="preserve">LAVATÓRIO LOUÇA BRANCA SUSPENSO, 29,5 X 39CM OU EQUIVALENTE, PADRÃO POPULAR, INCLUSO SIFÃO TIPO GARRAFA EM PVC, VÁLVULA E ENGATE FLEXÍVEL 30CM EM PLÁSTICO E TORNEIRA CROMADA DE MESA, PADRÃO POPULAR - FORNECIMENTO E INSTALAÇÃO. AF_01/2020</t>
  </si>
  <si>
    <t xml:space="preserve">3.4.28</t>
  </si>
  <si>
    <t xml:space="preserve">PAPELEIRA - PAPEL TIPO ROLÃO</t>
  </si>
  <si>
    <t xml:space="preserve">COMP. 01</t>
  </si>
  <si>
    <t xml:space="preserve">PAPELEIRA PLASTICA TIPO DISPENSER PARA PAPEL HIGIENICO ROLAO</t>
  </si>
  <si>
    <t xml:space="preserve">3.4.29</t>
  </si>
  <si>
    <t xml:space="preserve">ASSENTO SANITÁRIO</t>
  </si>
  <si>
    <t xml:space="preserve">100849</t>
  </si>
  <si>
    <t xml:space="preserve">ASSENTO SANITÁRIO CONVENCIONAL - FORNECIMENTO E INSTALACAO. AF_01/2020</t>
  </si>
  <si>
    <t xml:space="preserve">3.4.30</t>
  </si>
  <si>
    <t xml:space="preserve">SABONETEIRA</t>
  </si>
  <si>
    <t xml:space="preserve">95547</t>
  </si>
  <si>
    <t xml:space="preserve">SABONETEIRA PLASTICA TIPO DISPENSER PARA SABONETE LIQUIDO COM RESERVATORIO 800 A 1500 ML, INCLUSO FIXAÇÃO. AF_01/2020</t>
  </si>
  <si>
    <t xml:space="preserve">3.4.31</t>
  </si>
  <si>
    <t xml:space="preserve">PAPELEIRA - PAPEL TOALHA</t>
  </si>
  <si>
    <t xml:space="preserve">COMP.2</t>
  </si>
  <si>
    <t xml:space="preserve">TOALHEIRO PLASTICO TIPO DISPENSER PARA PAPEL TOALHA INTERFOLHADO</t>
  </si>
  <si>
    <t xml:space="preserve">3.4.32</t>
  </si>
  <si>
    <t xml:space="preserve">BARRA DE APOIO - 60CM</t>
  </si>
  <si>
    <t xml:space="preserve">100870</t>
  </si>
  <si>
    <t xml:space="preserve">BARRA DE APOIO RETA, EM ALUMINIO, COMPRIMENTO 60 CM,  FIXADA NA PAREDE - FORNECIMENTO E INSTALAÇÃO. AF_01/2020</t>
  </si>
  <si>
    <t xml:space="preserve">3.4.33</t>
  </si>
  <si>
    <t xml:space="preserve">BARRA DE APOIO - 70CM</t>
  </si>
  <si>
    <t xml:space="preserve">100871</t>
  </si>
  <si>
    <t xml:space="preserve">BARRA DE APOIO RETA, EM ALUMINIO, COMPRIMENTO 70 CM,  FIXADA NA PAREDE - FORNECIMENTO E INSTALAÇÃO. AF_01/2020</t>
  </si>
  <si>
    <t xml:space="preserve">3.4.34</t>
  </si>
  <si>
    <t xml:space="preserve">BARRA DE APOIO - 80CM</t>
  </si>
  <si>
    <t xml:space="preserve">100872</t>
  </si>
  <si>
    <t xml:space="preserve">BARRA DE APOIO RETA, EM ALUMINIO, COMPRIMENTO 80 CM,  FIXADA NA PAREDE - FORNECIMENTO E INSTALAÇÃO. AF_01/2020</t>
  </si>
  <si>
    <t xml:space="preserve">3.4.35</t>
  </si>
  <si>
    <t xml:space="preserve">ESPELHO - 0,5X0,8M - 2UN</t>
  </si>
  <si>
    <t xml:space="preserve">09718/ORSE</t>
  </si>
  <si>
    <t xml:space="preserve">ESPELHO DE CRISTAL 4MM COM MOLDURA DE ALUMÍNIO</t>
  </si>
  <si>
    <t xml:space="preserve">3.5</t>
  </si>
  <si>
    <t xml:space="preserve">CRI 02</t>
  </si>
  <si>
    <t xml:space="preserve">3.5.1</t>
  </si>
  <si>
    <t xml:space="preserve">3.5.2</t>
  </si>
  <si>
    <t xml:space="preserve">3.5.3</t>
  </si>
  <si>
    <t xml:space="preserve">3.5.4</t>
  </si>
  <si>
    <t xml:space="preserve">3.5.5</t>
  </si>
  <si>
    <t xml:space="preserve">3.5.6</t>
  </si>
  <si>
    <t xml:space="preserve">3.5.7</t>
  </si>
  <si>
    <t xml:space="preserve">3.5.8</t>
  </si>
  <si>
    <t xml:space="preserve">3.5.9</t>
  </si>
  <si>
    <t xml:space="preserve">3.5.10</t>
  </si>
  <si>
    <t xml:space="preserve">3.5.11</t>
  </si>
  <si>
    <t xml:space="preserve">3.5.12</t>
  </si>
  <si>
    <t xml:space="preserve">3.5.13</t>
  </si>
  <si>
    <t xml:space="preserve">3.5.14</t>
  </si>
  <si>
    <t xml:space="preserve">4</t>
  </si>
  <si>
    <t xml:space="preserve">INSTALAÇÕES ELÉTRICAS</t>
  </si>
  <si>
    <t xml:space="preserve">4.1</t>
  </si>
  <si>
    <r>
      <rPr>
        <b val="true"/>
        <sz val="11"/>
        <color rgb="FF000000"/>
        <rFont val="Calibri"/>
        <family val="0"/>
        <charset val="1"/>
      </rPr>
      <t xml:space="preserve">DISTRIBUIÇÃO </t>
    </r>
    <r>
      <rPr>
        <b val="true"/>
        <sz val="11"/>
        <color rgb="FFFF0000"/>
        <rFont val="Calibri"/>
        <family val="0"/>
        <charset val="1"/>
      </rPr>
      <t xml:space="preserve">ANEXO III E EXTERNO (QD1 E QD2)</t>
    </r>
  </si>
  <si>
    <t xml:space="preserve">4.1.1</t>
  </si>
  <si>
    <t xml:space="preserve">CABOS</t>
  </si>
  <si>
    <t xml:space="preserve">91924</t>
  </si>
  <si>
    <t xml:space="preserve">CABO DE COBRE FLEXÍVEL ISOLADO, 1,5 MM², ANTI-CHAMA 450/750 V, PARA CIRCUITOS TERMINAIS - FORNECIMENTO E INSTALAÇÃO. AF_12/2015</t>
  </si>
  <si>
    <t xml:space="preserve">M</t>
  </si>
  <si>
    <t xml:space="preserve">4.1.2</t>
  </si>
  <si>
    <t xml:space="preserve">91926</t>
  </si>
  <si>
    <t xml:space="preserve">CABO DE COBRE FLEXÍVEL ISOLADO, 2,5 MM², ANTI-CHAMA 450/750 V, PARA CIRCUITOS TERMINAIS - FORNECIMENTO E INSTALAÇÃO. AF_12/2015</t>
  </si>
  <si>
    <t xml:space="preserve">4.1.3</t>
  </si>
  <si>
    <t xml:space="preserve">91928</t>
  </si>
  <si>
    <t xml:space="preserve">CABO DE COBRE FLEXÍVEL ISOLADO, 4 MM², ANTI-CHAMA 450/750 V, PARA CIRCUITOS TERMINAIS - FORNECIMENTO E INSTALAÇÃO. AF_12/2015</t>
  </si>
  <si>
    <t xml:space="preserve">4.1.4</t>
  </si>
  <si>
    <t xml:space="preserve">CABO ATERRAMENTO QD1</t>
  </si>
  <si>
    <t xml:space="preserve">92981</t>
  </si>
  <si>
    <t xml:space="preserve">CABO DE COBRE FLEXÍVEL ISOLADO, 16 MM², ANTI-CHAMA 450/750 V, PARA DISTRIBUIÇÃO - FORNECIMENTO E INSTALAÇÃO. AF_12/2015</t>
  </si>
  <si>
    <t xml:space="preserve">4.1.5</t>
  </si>
  <si>
    <t xml:space="preserve">CABOS ALIMENTAÇÃO QDG AO QD1</t>
  </si>
  <si>
    <t xml:space="preserve">4.1.6</t>
  </si>
  <si>
    <t xml:space="preserve">CABOS ALIMENTAÇÃO QD1 AO QD2</t>
  </si>
  <si>
    <t xml:space="preserve">91932</t>
  </si>
  <si>
    <t xml:space="preserve">CABO DE COBRE FLEXÍVEL ISOLADO, 10 MM², ANTI-CHAMA 450/750 V, PARA CIRCUITOS TERMINAIS - FORNECIMENTO E INSTALAÇÃO. AF_12/2015</t>
  </si>
  <si>
    <t xml:space="preserve">4.1.7</t>
  </si>
  <si>
    <t xml:space="preserve">INTERRUPTOR SIMPLES </t>
  </si>
  <si>
    <t xml:space="preserve">91953</t>
  </si>
  <si>
    <t xml:space="preserve">INTERRUPTOR SIMPLES (1 MÓDULO), 10A/250V, INCLUINDO SUPORTE E PLACA - FORNECIMENTO E INSTALAÇÃO. AF_12/2015</t>
  </si>
  <si>
    <t xml:space="preserve">4.1.8</t>
  </si>
  <si>
    <t xml:space="preserve">TOMADAS 2 MOD</t>
  </si>
  <si>
    <t xml:space="preserve">92004</t>
  </si>
  <si>
    <t xml:space="preserve">TOMADA MÉDIA DE EMBUTIR (2 MÓDULOS), 2P+T 10 A, INCLUINDO SUPORTE E PLACA - FORNECIMENTO E INSTALAÇÃO. AF_12/2015</t>
  </si>
  <si>
    <t xml:space="preserve">4.1.9</t>
  </si>
  <si>
    <t xml:space="preserve">TOMADAS 1 MOD</t>
  </si>
  <si>
    <t xml:space="preserve">91996</t>
  </si>
  <si>
    <t xml:space="preserve">TOMADA MÉDIA DE EMBUTIR (1 MÓDULO), 2P+T 10 A, INCLUINDO SUPORTE E PLACA - FORNECIMENTO E INSTALAÇÃO. AF_12/2015</t>
  </si>
  <si>
    <t xml:space="preserve">4.1.10</t>
  </si>
  <si>
    <t xml:space="preserve">TOMADAS 1 MOD - PINO 20A - COZINHA</t>
  </si>
  <si>
    <t xml:space="preserve">91997</t>
  </si>
  <si>
    <t xml:space="preserve">TOMADA MÉDIA DE EMBUTIR (1 MÓDULO), 2P+T 20 A, INCLUINDO SUPORTE E PLACA - FORNECIMENTO E INSTALAÇÃO. AF_12/2015</t>
  </si>
  <si>
    <t xml:space="preserve">4.1.11</t>
  </si>
  <si>
    <t xml:space="preserve">TOMADA ALTA AR CONDICIONADO</t>
  </si>
  <si>
    <t xml:space="preserve">91993</t>
  </si>
  <si>
    <t xml:space="preserve">TOMADA ALTA DE EMBUTIR (1 MÓDULO), 2P+T 20 A, INCLUINDO SUPORTE E PLACA - FORNECIMENTO E INSTALAÇÃO. AF_12/2015</t>
  </si>
  <si>
    <t xml:space="preserve">4.1.12</t>
  </si>
  <si>
    <t xml:space="preserve">CONDULETE PVC - TOMADA E INTERRUPTOR SOBREPOR</t>
  </si>
  <si>
    <t xml:space="preserve">95811</t>
  </si>
  <si>
    <t xml:space="preserve">CONDULETE DE PVC, PARA ELETRODUTO DE PVC SOLDÁVEL DN 25 MM (3/4''), APARENTE - FORNECIMENTO E INSTALAÇÃO. AF_11/2016</t>
  </si>
  <si>
    <t xml:space="preserve">4.1.13</t>
  </si>
  <si>
    <t xml:space="preserve">CAIXA 2X4" TOMADA E INTERRUPTOR EMBUTIR</t>
  </si>
  <si>
    <t xml:space="preserve">91940</t>
  </si>
  <si>
    <t xml:space="preserve">CAIXA RETANGULAR 4" X 2" MÉDIA (1,30 M DO PISO), PVC, INSTALADA EM PAREDE - FORNECIMENTO E INSTALAÇÃO. AF_12/2015</t>
  </si>
  <si>
    <t xml:space="preserve">4.1.14</t>
  </si>
  <si>
    <t xml:space="preserve">CAIXA 3X3" PVC - LUMINÁRIAS</t>
  </si>
  <si>
    <t xml:space="preserve">91937</t>
  </si>
  <si>
    <t xml:space="preserve">CAIXA OCTOGONAL 3" X 3", PVC, INSTALADA EM LAJE - FORNECIMENTO E INSTALAÇÃO. AF_12/2015</t>
  </si>
  <si>
    <t xml:space="preserve">4.1.15</t>
  </si>
  <si>
    <t xml:space="preserve">ELETRODUTO FLEX 1.1/2" DN50</t>
  </si>
  <si>
    <t xml:space="preserve">ELETRODUTO FLEXÍVEL CORRUGADO, PEAD, DN 50 (1 ½)  - FORNECIMENTO E INSTALAÇÃO. AF_04/2016</t>
  </si>
  <si>
    <t xml:space="preserve">4.1.16</t>
  </si>
  <si>
    <t xml:space="preserve">ELETRODUTO FLEX  3/4"</t>
  </si>
  <si>
    <t xml:space="preserve">91834</t>
  </si>
  <si>
    <t xml:space="preserve">ELETRODUTO FLEXÍVEL CORRUGADO, PVC, DN 25 MM (3/4"), PARA CIRCUITOS TERMINAIS, INSTALADO EM FORRO - FORNECIMENTO E INSTALAÇÃO. AF_12/2015</t>
  </si>
  <si>
    <t xml:space="preserve">4.1.17</t>
  </si>
  <si>
    <t xml:space="preserve">ELETRODUTO APARENTE 3/4" + ACESSÓRIOS</t>
  </si>
  <si>
    <t xml:space="preserve">91871</t>
  </si>
  <si>
    <t xml:space="preserve">ELETRODUTO RÍGIDO ROSCÁVEL, PVC, DN 25 MM (3/4"), PARA CIRCUITOS TERMINAIS, INSTALADO EM PAREDE - FORNECIMENTO E INSTALAÇÃO. AF_12/2015</t>
  </si>
  <si>
    <t xml:space="preserve">4.1.18</t>
  </si>
  <si>
    <t xml:space="preserve">ELETRODUTO APARENTE 2" + ACESSÓRIOS</t>
  </si>
  <si>
    <t xml:space="preserve">93009</t>
  </si>
  <si>
    <t xml:space="preserve">ELETRODUTO RÍGIDO ROSCÁVEL, PVC, DN 60 MM (2"), PARA REDE ENTERRADA DE DISTRIBUIÇÃO DE ENERGIA ELÉTRICA - FORNECIMENTO E INSTALAÇÃO. AF_12/2021</t>
  </si>
  <si>
    <t xml:space="preserve">4.1.19</t>
  </si>
  <si>
    <t xml:space="preserve">CX PASSAGEM METÁLICA 15X15</t>
  </si>
  <si>
    <t xml:space="preserve">100556</t>
  </si>
  <si>
    <t xml:space="preserve">CAIXA DE PASSAGEM PARA TELEFONE 15X15X10CM (SOBREPOR), FORNECIMENTO E INSTALACAO. AF_11/2019</t>
  </si>
  <si>
    <t xml:space="preserve">4.1.20</t>
  </si>
  <si>
    <t xml:space="preserve">CX PASSAGEM ENTERRADA</t>
  </si>
  <si>
    <t xml:space="preserve">97881</t>
  </si>
  <si>
    <t xml:space="preserve">CAIXA ENTERRADA ELÉTRICA RETANGULAR, EM CONCRETO PRÉ-MOLDADO, FUNDO COM BRITA, DIMENSÕES INTERNAS: 0,3X0,3X0,3 M. AF_12/2020</t>
  </si>
  <si>
    <t xml:space="preserve">4.1.21</t>
  </si>
  <si>
    <t xml:space="preserve">DISJUNTOR DIN tomadas e luz</t>
  </si>
  <si>
    <t xml:space="preserve">93653</t>
  </si>
  <si>
    <t xml:space="preserve">DISJUNTOR MONOPOLAR TIPO DIN, CORRENTE NOMINAL DE 10A - FORNECIMENTO E INSTALAÇÃO. AF_10/2020</t>
  </si>
  <si>
    <t xml:space="preserve">4.1.22</t>
  </si>
  <si>
    <t xml:space="preserve">93654</t>
  </si>
  <si>
    <t xml:space="preserve">DISJUNTOR MONOPOLAR TIPO DIN, CORRENTE NOMINAL DE 16A - FORNECIMENTO E INSTALAÇÃO. AF_10/2020</t>
  </si>
  <si>
    <t xml:space="preserve">4.1.23</t>
  </si>
  <si>
    <t xml:space="preserve">93655</t>
  </si>
  <si>
    <t xml:space="preserve">DISJUNTOR MONOPOLAR TIPO DIN, CORRENTE NOMINAL DE 20A - FORNECIMENTO E INSTALAÇÃO. AF_10/2020</t>
  </si>
  <si>
    <t xml:space="preserve">4.1.24</t>
  </si>
  <si>
    <t xml:space="preserve">93660</t>
  </si>
  <si>
    <t xml:space="preserve">DISJUNTOR BIPOLAR TIPO DIN, CORRENTE NOMINAL DE 10A - FORNECIMENTO E INSTALAÇÃO. AF_10/2020</t>
  </si>
  <si>
    <t xml:space="preserve">4.1.25</t>
  </si>
  <si>
    <t xml:space="preserve">DISJUNTOR DIN ac</t>
  </si>
  <si>
    <t xml:space="preserve">93662</t>
  </si>
  <si>
    <t xml:space="preserve">DISJUNTOR BIPOLAR TIPO DIN, CORRENTE NOMINAL DE 20A - FORNECIMENTO E INSTALAÇÃO. AF_10/2020</t>
  </si>
  <si>
    <t xml:space="preserve">4.1.26</t>
  </si>
  <si>
    <t xml:space="preserve">DISJUNTOR GERAL QD1</t>
  </si>
  <si>
    <t xml:space="preserve">101894</t>
  </si>
  <si>
    <t xml:space="preserve">DISJUNTOR TRIPOLAR TIPO NEMA, CORRENTE NOMINAL DE 60 ATÉ 100A - FORNECIMENTO E INSTALAÇÃO. AF_10/2020</t>
  </si>
  <si>
    <t xml:space="preserve">4.1.27</t>
  </si>
  <si>
    <t xml:space="preserve">DISJUNTOR GERAL QD2</t>
  </si>
  <si>
    <t xml:space="preserve">93672</t>
  </si>
  <si>
    <t xml:space="preserve">DISJUNTOR TRIPOLAR TIPO DIN, CORRENTE NOMINAL DE 40A - FORNECIMENTO E INSTALAÇÃO. AF_10/2020</t>
  </si>
  <si>
    <t xml:space="preserve">4.1.28</t>
  </si>
  <si>
    <t xml:space="preserve">LUMINÁRIAS - PLAFON TUBULAR LED 36W 120CM</t>
  </si>
  <si>
    <t xml:space="preserve">97583 adapt</t>
  </si>
  <si>
    <t xml:space="preserve">LUMINÁRIA TIPO PLAFON TUBULAR, DE SOBREPOR, COM LED DE 36 W, 120 CM - FORNECIMENTO E INSTALAÇÃO. </t>
  </si>
  <si>
    <t xml:space="preserve">4.1.29</t>
  </si>
  <si>
    <t xml:space="preserve">REFLETOR LED</t>
  </si>
  <si>
    <t xml:space="preserve">39391</t>
  </si>
  <si>
    <t xml:space="preserve">LUMINARIA LED REFLETOR RETANGULAR BIVOLT, LUZ BRANCA, 50 W</t>
  </si>
  <si>
    <t xml:space="preserve">4.1.30</t>
  </si>
  <si>
    <t xml:space="preserve">QUADRO DE DISTRIBUIÇÃO - QD1</t>
  </si>
  <si>
    <t xml:space="preserve">101880</t>
  </si>
  <si>
    <t xml:space="preserve">QUADRO DE DISTRIBUIÇÃO DE ENERGIA EM CHAPA DE AÇO GALVANIZADO, DE EMBUTIR, COM BARRAMENTO TRIFÁSICO, PARA 30 DISJUNTORES DIN 150A - FORNECIMENTO E INSTALAÇÃO. AF_10/2020</t>
  </si>
  <si>
    <t xml:space="preserve">4.1.31</t>
  </si>
  <si>
    <t xml:space="preserve">QUADRO DE DISTRIBUIÇÃO - QD2</t>
  </si>
  <si>
    <t xml:space="preserve">101883</t>
  </si>
  <si>
    <t xml:space="preserve">QUADRO DE DISTRIBUIÇÃO DE ENERGIA EM CHAPA DE AÇO GALVANIZADO, DE EMBUTIR, COM BARRAMENTO TRIFÁSICO, PARA 18 DISJUNTORES DIN 100A - FORNECIMENTO E INSTALAÇÃO. AF_10/2020</t>
  </si>
  <si>
    <t xml:space="preserve">4.2</t>
  </si>
  <si>
    <t xml:space="preserve">PADRÃO DE ENTRADA E QD GERAL</t>
  </si>
  <si>
    <t xml:space="preserve">4.2.1</t>
  </si>
  <si>
    <t xml:space="preserve">DESLIGAMENTO E RETIRADA DE POSTE E PADRÃO ANTIGO</t>
  </si>
  <si>
    <t xml:space="preserve">03242/ORSE</t>
  </si>
  <si>
    <t xml:space="preserve">Remoção de poste de concreto armado seção circular ou duplo T - Rev. 01</t>
  </si>
  <si>
    <t xml:space="preserve">4.2.2</t>
  </si>
  <si>
    <t xml:space="preserve">ENTRADA DE ENEGRIA NOVA COMPLETA - PADRÃO CPFL</t>
  </si>
  <si>
    <t xml:space="preserve">101508 ADAP</t>
  </si>
  <si>
    <t xml:space="preserve">ENTRADA DE ENERGIA ELÉTRICA, AÉREA, TRIFÁSICA, COM CAIXA DE SOBREPOR, CABO DE 35 MM2 E DISJUNTOR DIN 100A (NÃO INCLUSO O POSTE DE CONCRETO). [ADAPTADO 100A]</t>
  </si>
  <si>
    <t xml:space="preserve">4.2.3</t>
  </si>
  <si>
    <t xml:space="preserve">POSTE</t>
  </si>
  <si>
    <t xml:space="preserve">41196 ADAP</t>
  </si>
  <si>
    <t xml:space="preserve">POSTE DE CONCRETO ARMADO DE SECAO DUPLO T, Poste duplo T 7,5 m de altura - 100 MULTI 100 - Padrão CPFL</t>
  </si>
  <si>
    <t xml:space="preserve">4.2.4</t>
  </si>
  <si>
    <t xml:space="preserve">ELETRODUTO </t>
  </si>
  <si>
    <t xml:space="preserve">97668</t>
  </si>
  <si>
    <t xml:space="preserve">ELETRODUTO FLEXÍVEL CORRUGADO, PEAD, DN 63 (2"), PARA REDE ENTERRADA DE DISTRIBUIÇÃO DE ENERGIA ELÉTRICA - FORNECIMENTO E INSTALAÇÃO. AF_12/2021</t>
  </si>
  <si>
    <t xml:space="preserve">4.2.5</t>
  </si>
  <si>
    <t xml:space="preserve">CABOS 35 MM² PRETO - QM ATÉ QD GERAL</t>
  </si>
  <si>
    <t xml:space="preserve">101563</t>
  </si>
  <si>
    <t xml:space="preserve">CABO DE COBRE FLEXÍVEL ISOLADO, 35 MM², 0,6/1,0 KV, PARA REDE AÉREA DE DISTRIBUIÇÃO DE ENERGIA ELÉTRICA DE BAIXA TENSÃO - FORNECIMENTO E INSTALAÇÃO. AF_07/2020</t>
  </si>
  <si>
    <t xml:space="preserve">4.2.6</t>
  </si>
  <si>
    <t xml:space="preserve">CABOS 35 MM² AZUL - QM ATÉ QD GERAL</t>
  </si>
  <si>
    <t xml:space="preserve">4.2.7</t>
  </si>
  <si>
    <t xml:space="preserve">CABOS 35 MM² VERDE - QM ATÉ QD GERAL</t>
  </si>
  <si>
    <t xml:space="preserve">4.2.8</t>
  </si>
  <si>
    <t xml:space="preserve">DESCIDA QUADRO</t>
  </si>
  <si>
    <t xml:space="preserve">4.2.9</t>
  </si>
  <si>
    <t xml:space="preserve">QUADRO SECCIONAMENTO - QD GERAL</t>
  </si>
  <si>
    <t xml:space="preserve">101875</t>
  </si>
  <si>
    <t xml:space="preserve">QUADRO DE DISTRIBUIÇÃO DE ENERGIA EM CHAPA DE AÇO GALVANIZADO, COM BARRAMENTO TRIFÁSICO, 100A - FORNECIMENTO E INSTALAÇÃO. AF_10/2020 </t>
  </si>
  <si>
    <t xml:space="preserve">4.2.10</t>
  </si>
  <si>
    <t xml:space="preserve">DISJUNTORES QDG E ENTRADA (100A, 80A e 63A)</t>
  </si>
  <si>
    <t xml:space="preserve">DISJUNTOR TRIPOLAR, CORRENTE NOMINAL DE 60 ATÉ 100A - FORNECIMENTO E INSTALAÇÃO. AF_10/2020</t>
  </si>
  <si>
    <t xml:space="preserve">5</t>
  </si>
  <si>
    <t xml:space="preserve">INSTALAÇÕES HIDROSSANITÁRIAS ANEXO III + CONVIVÊNCIA)</t>
  </si>
  <si>
    <t xml:space="preserve">5.1</t>
  </si>
  <si>
    <t xml:space="preserve">ALIMENTAÇÃO E RESERVATÓRIO</t>
  </si>
  <si>
    <t xml:space="preserve">5.1.1</t>
  </si>
  <si>
    <t xml:space="preserve">ALIMENTAÇÃO - QUEBRA+ESCAVAÇÃO</t>
  </si>
  <si>
    <t xml:space="preserve">90443</t>
  </si>
  <si>
    <t xml:space="preserve">RASGO PARA RAMAIS/ DISTRIBUIÇÃO COM DIAMETROS MENORES OU IGUAIS A 40 MM. AF_05/2015</t>
  </si>
  <si>
    <t xml:space="preserve">5.1.2</t>
  </si>
  <si>
    <t xml:space="preserve">ALIMENTAÇÃO - RECOMPOSIÇÃO</t>
  </si>
  <si>
    <t xml:space="preserve">90466</t>
  </si>
  <si>
    <t xml:space="preserve">CHUMBAMENTO LINEAR PARA RAMAIS/DISTRIBUIÇÃO COM DIÂMETROS MENORES OU IGUAIS A 40 MM. AF_05/2015</t>
  </si>
  <si>
    <t xml:space="preserve">5.1.3</t>
  </si>
  <si>
    <t xml:space="preserve">ALIMENTAÇÃO - TUBULAÇÃO</t>
  </si>
  <si>
    <t xml:space="preserve">89401</t>
  </si>
  <si>
    <t xml:space="preserve">TUBO, PVC, SOLDÁVEL, DN 20MM, INSTALADO EM RAMAL DE DISTRIBUIÇÃO DE ÁGUA - FORNECIMENTO E INSTALAÇÃO. AF_06/2022</t>
  </si>
  <si>
    <t xml:space="preserve">5.1.4</t>
  </si>
  <si>
    <t xml:space="preserve">ALIMENTAÇÃO - ACESSÓRIOS</t>
  </si>
  <si>
    <t xml:space="preserve">89376</t>
  </si>
  <si>
    <t xml:space="preserve">ADAPTADOR CURTO COM BOLSA E ROSCA PARA REGISTRO, PVC, SOLDÁVEL, DN 20MM X 1/2 , INSTALADO EM RAMAL OU SUB-RAMAL DE ÁGUA - FORNECIMENTO E INSTALAÇÃO. AF_06/2022</t>
  </si>
  <si>
    <t xml:space="preserve">5.1.5</t>
  </si>
  <si>
    <t xml:space="preserve">ALIMENTAÇÃO - REGISTROS</t>
  </si>
  <si>
    <t xml:space="preserve">89352</t>
  </si>
  <si>
    <t xml:space="preserve">REGISTRO DE GAVETA BRUTO, LATÃO, ROSCÁVEL, 1/2" - FORNECIMENTO E INSTALAÇÃO. AF_08/2021</t>
  </si>
  <si>
    <t xml:space="preserve">5.1.6</t>
  </si>
  <si>
    <t xml:space="preserve">89358</t>
  </si>
  <si>
    <t xml:space="preserve">JOELHO 90 GRAUS, PVC, SOLDÁVEL, DN 20MM, INSTALADO EM RAMAL OU SUB-RAMAL DE ÁGUA - FORNECIMENTO E INSTALAÇÃO. AF_06/2022</t>
  </si>
  <si>
    <t xml:space="preserve">5.1.7</t>
  </si>
  <si>
    <t xml:space="preserve">89393</t>
  </si>
  <si>
    <t xml:space="preserve">TE, PVC, SOLDÁVEL, DN 20MM, INSTALADO EM RAMAL OU SUB-RAMAL DE ÁGUA - FORNECIMENTO E INSTALAÇÃO. AF_06/2022</t>
  </si>
  <si>
    <t xml:space="preserve">5.1.8</t>
  </si>
  <si>
    <t xml:space="preserve">ALIMENTAÇÃO - TORNEIRA DE JARDIM</t>
  </si>
  <si>
    <t xml:space="preserve">86914</t>
  </si>
  <si>
    <t xml:space="preserve">TORNEIRA CROMADA 1/2_x005F_x0094_ OU 3/4_x005F_x0094_ PARA TANQUE, PADRÃO MÉDIO - FORNECIMENTO E INSTALAÇÃO. AF_01/2020</t>
  </si>
  <si>
    <t xml:space="preserve">5.1.9</t>
  </si>
  <si>
    <t xml:space="preserve">RESERVATÓRIO NOVO CONVIVÊNCIA 310 LITROS</t>
  </si>
  <si>
    <t xml:space="preserve">102622</t>
  </si>
  <si>
    <r>
      <rPr>
        <sz val="11"/>
        <color rgb="FF000000"/>
        <rFont val="Calibri"/>
        <family val="0"/>
        <charset val="1"/>
      </rPr>
      <t xml:space="preserve">[</t>
    </r>
    <r>
      <rPr>
        <i val="true"/>
        <sz val="11"/>
        <color rgb="FF000000"/>
        <rFont val="Calibri"/>
        <family val="0"/>
        <charset val="1"/>
      </rPr>
      <t xml:space="preserve">adaptado para 310 LITROS</t>
    </r>
    <r>
      <rPr>
        <sz val="11"/>
        <color rgb="FF000000"/>
        <rFont val="Calibri"/>
        <family val="0"/>
        <charset val="1"/>
      </rPr>
      <t xml:space="preserve">] - CAIXA D´ÁGUA EM POLIETILENO, 500 LITROS (INCLUSOS TUBOS, CONEXÕES E TORNEIRA DE BÓIA) - FORNECIMENTO E INSTALAÇÃO. AF_06/2021</t>
    </r>
  </si>
  <si>
    <t xml:space="preserve">5.1.10</t>
  </si>
  <si>
    <t xml:space="preserve">TROCA BOIA RESERVATÓRIO ANEXO III</t>
  </si>
  <si>
    <t xml:space="preserve">94797</t>
  </si>
  <si>
    <t xml:space="preserve">TORNEIRA DE BOIA PARA CAIXA D'ÁGUA, ROSCÁVEL, 1" - FORNECIMENTO E INSTALAÇÃO. AF_08/2021</t>
  </si>
  <si>
    <t xml:space="preserve">5.2</t>
  </si>
  <si>
    <t xml:space="preserve">ÁGUA FRIA - DISTRIBUIÇÃO</t>
  </si>
  <si>
    <t xml:space="preserve">5.2.1</t>
  </si>
  <si>
    <t xml:space="preserve">RETIRADA INSTALAÇÃO ANTIGA</t>
  </si>
  <si>
    <t xml:space="preserve">97662</t>
  </si>
  <si>
    <t xml:space="preserve">REMOÇÃO DE TUBULAÇÕES (TUBOS E CONEXÕES) DE ÁGUA FRIA, DE FORMA MANUAL, SEM REAPROVEITAMENTO. AF_12/2017</t>
  </si>
  <si>
    <t xml:space="preserve">5.2.2</t>
  </si>
  <si>
    <t xml:space="preserve">RASGO EM ALVENARIA PARA RAMAIS</t>
  </si>
  <si>
    <t xml:space="preserve">RASGO EM ALVENARIA PARA RAMAIS/ DISTRIBUIÇÃO COM DIAMETROS MENORES OU IGUAIS A 40 MM. AF_05/2015</t>
  </si>
  <si>
    <t xml:space="preserve">5.2.3</t>
  </si>
  <si>
    <t xml:space="preserve">RECOMPOSIÇÃO (ANTIGA E NOVA INSTALAÇÃO)</t>
  </si>
  <si>
    <t xml:space="preserve">CHUMBAMENTO LINEAR EM ALVENARIA PARA RAMAIS/DISTRIBUIÇÃO COM DIÂMETROS MENORES OU IGUAIS A 40 MM. AF_05/2015</t>
  </si>
  <si>
    <t xml:space="preserve">5.2.4</t>
  </si>
  <si>
    <t xml:space="preserve">TUBULAÇÃO AF</t>
  </si>
  <si>
    <t xml:space="preserve">89356</t>
  </si>
  <si>
    <t xml:space="preserve">TUBO, PVC, SOLDÁVEL, DN 25MM, INSTALADO EM RAMAL OU SUB-RAMAL DE ÁGUA - FORNECIMENTO E INSTALAÇÃO. AF_12/2014</t>
  </si>
  <si>
    <t xml:space="preserve">5.2.5</t>
  </si>
  <si>
    <t xml:space="preserve">103978</t>
  </si>
  <si>
    <t xml:space="preserve">TUBO, PVC, SOLDÁVEL, DN 40MM, INSTALADO EM RAMAL DE DISTRIBUIÇÃO DE ÁGUA - FORNECIMENTO E INSTALAÇÃO. AF_06/2022</t>
  </si>
  <si>
    <t xml:space="preserve">5.2.6</t>
  </si>
  <si>
    <t xml:space="preserve">REGISTROS</t>
  </si>
  <si>
    <t xml:space="preserve">89383</t>
  </si>
  <si>
    <t xml:space="preserve">ADAPTADOR CURTO COM BOLSA E ROSCA PARA REGISTRO, PVC, SOLDÁVEL, DN 25MM X 3/4 , INSTALADO EM RAMAL OU SUB-RAMAL DE ÁGUA - FORNECIMENTO E INSTALAÇÃO. AF_06/2022</t>
  </si>
  <si>
    <t xml:space="preserve">5.2.7</t>
  </si>
  <si>
    <t xml:space="preserve">89570</t>
  </si>
  <si>
    <t xml:space="preserve">ADAPTADOR CURTO COM BOLSA E ROSCA PARA REGISTRO, PVC, SOLDÁVEL, DN 40MM X 1.1/2 , INSTALADO EM PRUMADA DE ÁGUA - FORNECIMENTO E INSTALAÇÃO. AF_06/2022</t>
  </si>
  <si>
    <t xml:space="preserve">5.2.8</t>
  </si>
  <si>
    <t xml:space="preserve">89987</t>
  </si>
  <si>
    <t xml:space="preserve">REGISTRO DE GAVETA BRUTO, LATÃO, ROSCÁVEL, 3/4", COM ACABAMENTO E CANOPLA CROMADOS - FORNECIMENTO E INSTALAÇÃO. AF_08/2021</t>
  </si>
  <si>
    <t xml:space="preserve">5.2.9</t>
  </si>
  <si>
    <t xml:space="preserve">89353</t>
  </si>
  <si>
    <t xml:space="preserve">REGISTRO DE GAVETA BRUTO, LATÃO, ROSCÁVEL, 3/4" - FORNECIMENTO E INSTALAÇÃO. AF_08/2021</t>
  </si>
  <si>
    <t xml:space="preserve">5.2.10</t>
  </si>
  <si>
    <t xml:space="preserve">94496</t>
  </si>
  <si>
    <t xml:space="preserve">REGISTRO DE GAVETA BRUTO, LATÃO, ROSCÁVEL, 1 1/4" - FORNECIMENTO E INSTALAÇÃO. AF_08/2021</t>
  </si>
  <si>
    <t xml:space="preserve">5.2.11</t>
  </si>
  <si>
    <t xml:space="preserve">CONEXÕES AF</t>
  </si>
  <si>
    <t xml:space="preserve">89362</t>
  </si>
  <si>
    <t xml:space="preserve">JOELHO 90 GRAUS, PVC, SOLDÁVEL, DN 25MM, INSTALADO EM RAMAL OU SUB-RAMAL DE ÁGUA - FORNECIMENTO E INSTALAÇÃO. AF_12/2014</t>
  </si>
  <si>
    <t xml:space="preserve">5.2.12</t>
  </si>
  <si>
    <t xml:space="preserve">89497</t>
  </si>
  <si>
    <t xml:space="preserve">JOELHO 90 GRAUS, PVC, SOLDÁVEL, DN 40MM, INSTALADO EM PRUMADA DE ÁGUA - FORNECIMENTO E INSTALAÇÃO. AF_06/2022</t>
  </si>
  <si>
    <t xml:space="preserve">5.2.13</t>
  </si>
  <si>
    <t xml:space="preserve">90373</t>
  </si>
  <si>
    <t xml:space="preserve">JOELHO 90 GRAUS COM BUCHA DE LATÃO, PVC, SOLDÁVEL, DN 25MM, INSTALADO EM RAMAL OU SUB-RAMAL DE ÁGUA - FORNECIMENTO E INSTALAÇÃO. AF_12/2014</t>
  </si>
  <si>
    <t xml:space="preserve">5.2.14</t>
  </si>
  <si>
    <t xml:space="preserve">89395</t>
  </si>
  <si>
    <t xml:space="preserve">TE, PVC, SOLDÁVEL, DN 25MM, INSTALADO EM RAMAL OU SUB-RAMAL DE ÁGUA - FORNECIMENTO E INSTALAÇÃO. AF_06/2022</t>
  </si>
  <si>
    <t xml:space="preserve">5.2.15</t>
  </si>
  <si>
    <t xml:space="preserve">89623</t>
  </si>
  <si>
    <t xml:space="preserve">TE, PVC, SOLDÁVEL, DN 40MM, INSTALADO EM PRUMADA DE ÁGUA - FORNECIMENTO E INSTALAÇÃO. AF_06/2022</t>
  </si>
  <si>
    <t xml:space="preserve">5.2.16</t>
  </si>
  <si>
    <t xml:space="preserve">89380
ADAPTADO</t>
  </si>
  <si>
    <t xml:space="preserve">BUCHA DE REDUÇÃO SOLD. LONGA 40 MM - 25 MM</t>
  </si>
  <si>
    <t xml:space="preserve">5.3</t>
  </si>
  <si>
    <t xml:space="preserve">ESGOTO</t>
  </si>
  <si>
    <t xml:space="preserve">5.3.1</t>
  </si>
  <si>
    <t xml:space="preserve">REMOÇÃO ESGOTO ANTIGO</t>
  </si>
  <si>
    <t xml:space="preserve">97662 
ADAPTADO</t>
  </si>
  <si>
    <t xml:space="preserve">5.3.2</t>
  </si>
  <si>
    <t xml:space="preserve">VALAS ESGOTO</t>
  </si>
  <si>
    <t xml:space="preserve">93358</t>
  </si>
  <si>
    <t xml:space="preserve">ESCAVAÇÃO MANUAL DE VALA COM PROFUNDIDADE MENOR OU IGUAL A 1,30 M. AF_03/2016</t>
  </si>
  <si>
    <t xml:space="preserve">5.3.3</t>
  </si>
  <si>
    <t xml:space="preserve">REATERRO</t>
  </si>
  <si>
    <t xml:space="preserve">96995</t>
  </si>
  <si>
    <t xml:space="preserve">REATERRO MANUAL APILOADO COM SOQUETE. AF_10/2017</t>
  </si>
  <si>
    <t xml:space="preserve">5.3.4</t>
  </si>
  <si>
    <t xml:space="preserve">RECOMPOSIÇÃO CONTRAPISO</t>
  </si>
  <si>
    <t xml:space="preserve">101747</t>
  </si>
  <si>
    <t xml:space="preserve">PISO EM CONCRETO 20 MPA PREPARO MECÂNICO, ESPESSURA 7CM. AF_09/2020</t>
  </si>
  <si>
    <t xml:space="preserve">5.3.5</t>
  </si>
  <si>
    <t xml:space="preserve">CAIXA ESGOTO</t>
  </si>
  <si>
    <t xml:space="preserve">97906</t>
  </si>
  <si>
    <t xml:space="preserve">CAIXA ENTERRADA HIDRÁULICA RETANGULAR, EM ALVENARIA COM BLOCOS DE CONCRETO, DIMENSÕES INTERNAS: 0,6X0,6X0,6 M PARA REDE DE ESGOTO. AF_12/2020</t>
  </si>
  <si>
    <t xml:space="preserve">5.3.6</t>
  </si>
  <si>
    <t xml:space="preserve">CAIXA DE GORDURA</t>
  </si>
  <si>
    <t xml:space="preserve">98110</t>
  </si>
  <si>
    <t xml:space="preserve">CAIXA DE GORDURA PEQUENA (CAPACIDADE: 19 L), CIRCULAR, EM PVC, DIÂMETRO INTERNO= 0,3 M. AF_12/2020</t>
  </si>
  <si>
    <t xml:space="preserve">5.3.7</t>
  </si>
  <si>
    <t xml:space="preserve">TUBO ESGOTO</t>
  </si>
  <si>
    <t xml:space="preserve">89714</t>
  </si>
  <si>
    <t xml:space="preserve">TUBO PVC, SERIE NORMAL, ESGOTO PREDIAL, DN 100 MM, FORNECIDO E INSTALADO EM RAMAL DE DESCARGA OU RAMAL DE ESGOTO SANITÁRIO. AF_12/2014</t>
  </si>
  <si>
    <t xml:space="preserve">5.3.8</t>
  </si>
  <si>
    <t xml:space="preserve">89712</t>
  </si>
  <si>
    <t xml:space="preserve">TUBO PVC, SERIE NORMAL, ESGOTO PREDIAL, DN 50 MM, FORNECIDO E INSTALADO EM RAMAL DE DESCARGA OU RAMAL DE ESGOTO SANITÁRIO. AF_12/2014</t>
  </si>
  <si>
    <t xml:space="preserve">5.3.9</t>
  </si>
  <si>
    <t xml:space="preserve">CONEXÕES ESG</t>
  </si>
  <si>
    <t xml:space="preserve">89732</t>
  </si>
  <si>
    <t xml:space="preserve">JOELHO 45 GRAUS, PVC, SERIE NORMAL, ESGOTO PREDIAL, DN 50 MM, JUNTA ELÁSTICA, FORNECIDO E INSTALADO EM RAMAL DE DESCARGA OU RAMAL DE ESGOTO SANITÁRIO. AF_12/2014</t>
  </si>
  <si>
    <t xml:space="preserve">5.3.10</t>
  </si>
  <si>
    <t xml:space="preserve">89797</t>
  </si>
  <si>
    <t xml:space="preserve">JUNÇÃO SIMPLES, PVC, SERIE NORMAL, ESGOTO PREDIAL, DN 100 X 100 MM, JUNTA ELÁSTICA, FORNECIDO E INSTALADO EM RAMAL DE DESCARGA OU RAMAL DE ESGOTO SANITÁRIO. AF_12/2014</t>
  </si>
  <si>
    <t xml:space="preserve">5.3.11</t>
  </si>
  <si>
    <t xml:space="preserve">89731</t>
  </si>
  <si>
    <t xml:space="preserve">JOELHO 90 GRAUS, PVC, SERIE NORMAL, ESGOTO PREDIAL, DN 50 MM, JUNTA ELÁSTICA, FORNECIDO E INSTALADO EM RAMAL DE DESCARGA OU RAMAL DE ESGOTO SANITÁRIO. AF_12/2014</t>
  </si>
  <si>
    <t xml:space="preserve">5.3.12</t>
  </si>
  <si>
    <t xml:space="preserve">89744</t>
  </si>
  <si>
    <t xml:space="preserve">JOELHO 90 GRAUS, PVC, SERIE NORMAL, ESGOTO PREDIAL, DN 100 MM, JUNTA ELÁSTICA, FORNECIDO E INSTALADO EM RAMAL DE DESCARGA OU RAMAL DE ESGOTO SANITÁRIO. AF_12/2014</t>
  </si>
  <si>
    <t xml:space="preserve">5.3.13</t>
  </si>
  <si>
    <t xml:space="preserve">89707</t>
  </si>
  <si>
    <t xml:space="preserve">CAIXA SIFONADA, PVC, DN 100 X 100 X 50 MM, JUNTA ELÁSTICA, FORNECIDA E INSTALADA EM RAMAL DE DESCARGA OU EM RAMAL DE ESGOTO SANITÁRIO. AF_12/2014</t>
  </si>
  <si>
    <t xml:space="preserve">5.3.14</t>
  </si>
  <si>
    <t xml:space="preserve">RALO</t>
  </si>
  <si>
    <t xml:space="preserve">89709</t>
  </si>
  <si>
    <t xml:space="preserve">RALO SIFONADO, PVC, DN 100 X 40 MM, JUNTA SOLDÁVEL, FORNECIDO E INSTALADO EM RAMAL DE DESCARGA OU EM RAMAL DE ESGOTO SANITÁRIO. AF_12/2014</t>
  </si>
  <si>
    <t xml:space="preserve">5.3.15</t>
  </si>
  <si>
    <t xml:space="preserve">11732 
ADAPTADO</t>
  </si>
  <si>
    <t xml:space="preserve">GRELHA PVC CROMADA REDONDA, 150 MM - ESCAMOTEÁVEL</t>
  </si>
  <si>
    <t xml:space="preserve">6</t>
  </si>
  <si>
    <t xml:space="preserve">FUNDOS</t>
  </si>
  <si>
    <t xml:space="preserve">6.1</t>
  </si>
  <si>
    <t xml:space="preserve">FUNDOS - ESTRUTURAS </t>
  </si>
  <si>
    <t xml:space="preserve">6.1.1</t>
  </si>
  <si>
    <t xml:space="preserve">ATERRO, NIVELAMENTO E COMPACTAÇÃO DO TERRENO</t>
  </si>
  <si>
    <t xml:space="preserve">93382</t>
  </si>
  <si>
    <t xml:space="preserve">REATERRO MANUAL DE VALAS COM COMPACTAÇÃO MECANIZADA. AF_04/2016</t>
  </si>
  <si>
    <t xml:space="preserve">6.1.2</t>
  </si>
  <si>
    <t xml:space="preserve">GABARITO</t>
  </si>
  <si>
    <t xml:space="preserve">99059</t>
  </si>
  <si>
    <t xml:space="preserve">LOCACAO CONVENCIONAL DE OBRA, UTILIZANDO GABARITO DE TÁBUAS CORRIDAS PONTALETADAS A CADA 2,00M -  2 UTILIZAÇÕES. AF_10/2018</t>
  </si>
  <si>
    <t xml:space="preserve">6.1.3</t>
  </si>
  <si>
    <t xml:space="preserve">ESCAVAÇÃO (BLOCO + BALDRAME)</t>
  </si>
  <si>
    <t xml:space="preserve">ESCAVAÇÃO MANUAL DE VALA COM PROFUNDIDADE MENOR OU IGUAL A 1,30 M. AF_02/2021</t>
  </si>
  <si>
    <t xml:space="preserve">6.1.4</t>
  </si>
  <si>
    <t xml:space="preserve">TRU - BROCA (10x4m)</t>
  </si>
  <si>
    <t xml:space="preserve">101174</t>
  </si>
  <si>
    <t xml:space="preserve">ESTACA BROCA DE CONCRETO, DIÂMETRO DE 25CM, ESCAVAÇÃO MANUAL COM TRADO CONCHA, COM ARMADURA</t>
  </si>
  <si>
    <t xml:space="preserve">6.1.5</t>
  </si>
  <si>
    <t xml:space="preserve">TRU – FORMAS (BLOCO )</t>
  </si>
  <si>
    <t xml:space="preserve">92419</t>
  </si>
  <si>
    <t xml:space="preserve">MONTAGEM E DESMONTAGEM DE FÔRMA DE PILARES RETANGULARES E ESTRUTURAS SIMILARES, PÉ-DIREITO SIMPLES, EM CHAPA DE MADEIRA COMPENSADA RESINADA, 4 UTILIZAÇÕES. AF_09/2020</t>
  </si>
  <si>
    <t xml:space="preserve">6.1.6</t>
  </si>
  <si>
    <t xml:space="preserve">TRU – ARMAÇÃO (BLOCO) CA60</t>
  </si>
  <si>
    <t xml:space="preserve">92759</t>
  </si>
  <si>
    <t xml:space="preserve">ARMAÇÃO DE PILAR OU VIGA DE ESTRUTURA CONVENCIONAL DE CONCRETO ARMADO UTILIZANDO AÇO CA-60 DE 5,0 MM - MONTAGEM. AF_06/2022</t>
  </si>
  <si>
    <t xml:space="preserve">kg</t>
  </si>
  <si>
    <t xml:space="preserve">6.1.7</t>
  </si>
  <si>
    <t xml:space="preserve">TRU – ARMAÇÃO (BLOCO) CA50</t>
  </si>
  <si>
    <t xml:space="preserve">92762</t>
  </si>
  <si>
    <t xml:space="preserve">ARMAÇÃO DE PILAR OU VIGA DE ESTRUTURA CONVENCIONAL DE CONCRETO ARMADO UTILIZANDO AÇO CA-50 DE 10,0 MM - MONTAGEM. AF_06/2022</t>
  </si>
  <si>
    <t xml:space="preserve">6.1.8</t>
  </si>
  <si>
    <t xml:space="preserve">TRU - CONCRETO (BLOCO )</t>
  </si>
  <si>
    <t xml:space="preserve">CONCRETO FCK = 25MPA, TRAÇO 1:2,3:2,7 (EM MASSA SECA DE CIMENTO/ AREIA MÉDIA/ BRITA 1) - PREPARO MECÂNICO COM BETONEIRA 600 L. AF_05/2021</t>
  </si>
  <si>
    <t xml:space="preserve">6.1.9</t>
  </si>
  <si>
    <t xml:space="preserve">TRU – FORMAS (VIGAS + VERGAS E CONTRAVERGAS)</t>
  </si>
  <si>
    <t xml:space="preserve">6.1.10</t>
  </si>
  <si>
    <t xml:space="preserve">TRU – ARMAÇÃO (VIGAS + VERGAS E CONTRAVERGAS) CA60</t>
  </si>
  <si>
    <t xml:space="preserve">6.1.11</t>
  </si>
  <si>
    <t xml:space="preserve">TRU – ARMAÇÃO (VIGAS + VERGAS E CONTRAVERGAS) CA50</t>
  </si>
  <si>
    <t xml:space="preserve">92761</t>
  </si>
  <si>
    <t xml:space="preserve">ARMAÇÃO DE PILAR OU VIGA DE ESTRUTURA CONVENCIONAL DE CONCRETO ARMADO UTILIZANDO AÇO CA-50 DE 8,0 MM - MONTAGEM. AF_06/2022</t>
  </si>
  <si>
    <t xml:space="preserve">6.1.12</t>
  </si>
  <si>
    <t xml:space="preserve">6.1.13</t>
  </si>
  <si>
    <t xml:space="preserve">TRU - CONCRETO (VIGAS + VERGAS E CONTRAVERGAS)</t>
  </si>
  <si>
    <t xml:space="preserve">6.1.14</t>
  </si>
  <si>
    <t xml:space="preserve">IMPERMEABILIZAÇÃO (BLOCO + BALDRAME)</t>
  </si>
  <si>
    <t xml:space="preserve">98557</t>
  </si>
  <si>
    <t xml:space="preserve">IMPERMEABILIZAÇÃO DE SUPERFÍCIE COM EMULSÃO ASFÁLTICA, 2 DEMÃOS AF_06/2018</t>
  </si>
  <si>
    <t xml:space="preserve">6.1.15</t>
  </si>
  <si>
    <t xml:space="preserve">TRU – FORMAS (PILARES)</t>
  </si>
  <si>
    <t xml:space="preserve">6.1.16</t>
  </si>
  <si>
    <t xml:space="preserve">TRU – ARMAÇÃO (PILARES)</t>
  </si>
  <si>
    <t xml:space="preserve">6.1.17</t>
  </si>
  <si>
    <t xml:space="preserve">6.1.18</t>
  </si>
  <si>
    <t xml:space="preserve">TRU - CONCRETO (PILARES)</t>
  </si>
  <si>
    <t xml:space="preserve">6.1.19</t>
  </si>
  <si>
    <t xml:space="preserve">ESTRUTURA DE SUPORTE RESERVATÓRIO EM ESTRUTURA METÁLICA - TERÇAS</t>
  </si>
  <si>
    <t xml:space="preserve">92580</t>
  </si>
  <si>
    <t xml:space="preserve">[ADAPTADO - ESTRUTURA SUPORTE RESERVATÓRIO] 
TRAMA DE AÇO COMPOSTA POR TERÇAS PARA TELHADOS DE ATÉ 2 ÁGUAS PARA TELHA ONDULADA DE FIBROCIMENTO, METÁLICA, PLÁSTICA OU TERMOACÚSTICA, INCLUSO TRANSPORTE VERTICAL. AF_07/2019</t>
  </si>
  <si>
    <t xml:space="preserve">6.1.20</t>
  </si>
  <si>
    <t xml:space="preserve">ESTRUTURA DE SUPORTE RESERVATÓRIO EM ESTRUTURA METÁLICA - BASE </t>
  </si>
  <si>
    <t xml:space="preserve">3992</t>
  </si>
  <si>
    <t xml:space="preserve">TABUA APARELHADA *2,5 X 30* CM, EM MACARANDUBA, ANGELIM OU EQUIVALENTE DA REGIAO</t>
  </si>
  <si>
    <t xml:space="preserve">6.2</t>
  </si>
  <si>
    <t xml:space="preserve">FUNDOS - TELHADO E ÁGUAS PLUVIAIS</t>
  </si>
  <si>
    <t xml:space="preserve">6.2.1</t>
  </si>
  <si>
    <t xml:space="preserve">MADEIRAMENTO - TESOURA INTEIRA</t>
  </si>
  <si>
    <t xml:space="preserve">92557</t>
  </si>
  <si>
    <t xml:space="preserve">FABRICAÇÃO E INSTALAÇÃO DE TESOURA INTEIRA EM MADEIRA NÃO APARELHADA, VÃO DE 5 M, PARA TELHA ONDULADA DE FIBROCIMENTO, METÁLICA, PLÁSTICA OU TERMOACÚSTICA, INCLUSO IÇAMENTO. AF_07/2019</t>
  </si>
  <si>
    <t xml:space="preserve">6.2.2</t>
  </si>
  <si>
    <t xml:space="preserve">MADEIRAMENTO - TERÇAS</t>
  </si>
  <si>
    <t xml:space="preserve">92543</t>
  </si>
  <si>
    <t xml:space="preserve">TRAMA DE MADEIRA COMPOSTA POR TERÇAS PARA TELHADOS DE ATÉ 2 ÁGUAS PARA TELHA ONDULADA DE FIBROCIMENTO, METÁLICA, PLÁSTICA OU TERMOACÚSTICA, INCLUSO TRANSPORTE VERTICAL. AF_07/2019</t>
  </si>
  <si>
    <t xml:space="preserve">6.2.3</t>
  </si>
  <si>
    <t xml:space="preserve">MANTA PLÁSTICA</t>
  </si>
  <si>
    <t xml:space="preserve">94226</t>
  </si>
  <si>
    <t xml:space="preserve">SUBCOBERTURA COM MANTA PLÁSTICA REVESTIDA POR PELÍCULA DE ALUMÍNO, INCLUSO TRANSPORTE VERTICAL. AF_07/2019</t>
  </si>
  <si>
    <t xml:space="preserve">6.2.4</t>
  </si>
  <si>
    <t xml:space="preserve">TELHA FIBROCIMENTO 82 M² + CORREÇÃO P/ 30 % DO SINAPI</t>
  </si>
  <si>
    <t xml:space="preserve">94210</t>
  </si>
  <si>
    <t xml:space="preserve">TELHAMENTO COM TELHA ONDULADA DE FIBROCIMENTO E = 6 MM, COM RECOBRIMENTO LATERAL DE 1 1/4 DE ONDA PARA TELHADO COM INCLINAÇÃO MÁXIMA DE 10°, COM ATÉ 2 ÁGUAS, INCLUSO IÇAMENTO. AF_07/2019</t>
  </si>
  <si>
    <t xml:space="preserve">6.2.5</t>
  </si>
  <si>
    <t xml:space="preserve">CUMEEIRA E ESPIGÃO EM CHAPA</t>
  </si>
  <si>
    <t xml:space="preserve">94228</t>
  </si>
  <si>
    <t xml:space="preserve">CHAPA DE AÇO GALVANIZADO NÚMERO 24, DESENVOLVIMENTO DE 50 CM, INCLUSO TRANSPORTE VERTICAL. AF_07/2019</t>
  </si>
  <si>
    <t xml:space="preserve">6.2.6</t>
  </si>
  <si>
    <t xml:space="preserve">RUFOS</t>
  </si>
  <si>
    <t xml:space="preserve">100327</t>
  </si>
  <si>
    <t xml:space="preserve">RUFO EXTERNO/INTERNO EM CHAPA DE AÇO GALVANIZADO NÚMERO 26, CORTE DE 33 CM, INCLUSO IÇAMENTO. AF_07/2019</t>
  </si>
  <si>
    <t xml:space="preserve">6.2.7</t>
  </si>
  <si>
    <t xml:space="preserve">TABEIRA</t>
  </si>
  <si>
    <t xml:space="preserve">11092/ORSE</t>
  </si>
  <si>
    <t xml:space="preserve">Tabeira de madeira lei, 1a qualidade, 2,5x10,0cm para beiral de telhado </t>
  </si>
  <si>
    <t xml:space="preserve">6.3</t>
  </si>
  <si>
    <t xml:space="preserve">FUNDOS - PISOS</t>
  </si>
  <si>
    <t xml:space="preserve">6.3.1</t>
  </si>
  <si>
    <t xml:space="preserve">EXECUÇÃO DE CONTRAPISO CONCRETO 6CM</t>
  </si>
  <si>
    <t xml:space="preserve">6.3.2</t>
  </si>
  <si>
    <t xml:space="preserve">97113</t>
  </si>
  <si>
    <t xml:space="preserve">APLICAÇÃO DE LONA PLÁSTICA PARA EXECUÇÃO DE PAVIMENTOS DE CONCRETO. AF_04/2022</t>
  </si>
  <si>
    <t xml:space="preserve">6.3.3</t>
  </si>
  <si>
    <t xml:space="preserve">EXECUÇÃO DE CONTRAPISO ARGAMASSA 2CM</t>
  </si>
  <si>
    <t xml:space="preserve">87620</t>
  </si>
  <si>
    <t xml:space="preserve">CONTRAPISO EM ARGAMASSA TRAÇO 1:4 (CIMENTO E AREIA), PREPARO MECÂNICO COM BETONEIRA 400 L, APLICADO EM ÁREAS SECAS SOBRE LAJE, ADERIDO, ACABAMENTO NÃO REFORÇADO, ESPESSURA 2CM. AF_07/2021</t>
  </si>
  <si>
    <t xml:space="preserve">6.3.4</t>
  </si>
  <si>
    <t xml:space="preserve">PISO CIMENTADO + RODAPÉ H=10CM (CIMENTO QUEIMADO)</t>
  </si>
  <si>
    <t xml:space="preserve">6.3.5</t>
  </si>
  <si>
    <t xml:space="preserve">ACABAMENTO DO PISO E RODAPÉ</t>
  </si>
  <si>
    <t xml:space="preserve">PINTURA DE ACABAMENTO COM APLICAÇÃO DE VERNIZ ACRÍLICO PARA PROTEÇÃO DE SUPERFÍCIES EM CONCRETO APARENTE, MARCA FOSROC, REF. DEKGUARD FS OU SIMILAR</t>
  </si>
  <si>
    <t xml:space="preserve">6.4</t>
  </si>
  <si>
    <t xml:space="preserve">FUNDOS - ALVENARIAS E REVESTIMENTOS</t>
  </si>
  <si>
    <t xml:space="preserve">6.4.1</t>
  </si>
  <si>
    <t xml:space="preserve">ALVENARIAS -20CM (h=280) + EITÃO</t>
  </si>
  <si>
    <t xml:space="preserve">6.4.2</t>
  </si>
  <si>
    <t xml:space="preserve">ACABAMENTO DA ALVENARIA - CHAPISCO</t>
  </si>
  <si>
    <t xml:space="preserve">6.4.3</t>
  </si>
  <si>
    <t xml:space="preserve">ACABAMENTO DA ALVENARIA - MASSA ÚNICA</t>
  </si>
  <si>
    <t xml:space="preserve">6.4.4</t>
  </si>
  <si>
    <t xml:space="preserve">REVESTIMENTO CERÂMICO - RODABANCA</t>
  </si>
  <si>
    <t xml:space="preserve">87266</t>
  </si>
  <si>
    <t xml:space="preserve">REVESTIMENTO CERÂMICO PARA PAREDES INTERNAS COM PLACAS TIPO ESMALTADA EXTRA DE DIMENSÕES 20X20 CM APLICADAS EM AMBIENTES DE ÁREA MENOR QUE 5 M² A MEIA ALTURA DAS PAREDES. AF_06/2014</t>
  </si>
  <si>
    <t xml:space="preserve">6.4.5</t>
  </si>
  <si>
    <t xml:space="preserve">ACABAMENTO DA ALVENARIA - FUNDO SELADOR</t>
  </si>
  <si>
    <t xml:space="preserve">6.4.7</t>
  </si>
  <si>
    <t xml:space="preserve">ACABAMENTO DA ALVENARIA - PINTURA COM TINTA LÁTEX</t>
  </si>
  <si>
    <t xml:space="preserve">6.5</t>
  </si>
  <si>
    <t xml:space="preserve">FUNDOS - FORRO</t>
  </si>
  <si>
    <t xml:space="preserve">6.5.1</t>
  </si>
  <si>
    <t xml:space="preserve">FORRO EM DRYWALL</t>
  </si>
  <si>
    <t xml:space="preserve">96110</t>
  </si>
  <si>
    <t xml:space="preserve">FORRO EM DRYWALL, PARA AMBIENTES RESIDENCIAIS, INCLUSIVE ESTRUTURA DE FIXAÇÃO. AF_05/2017_P</t>
  </si>
  <si>
    <t xml:space="preserve">6.5.2</t>
  </si>
  <si>
    <t xml:space="preserve">ACABAMENTO - FORRO EM DRYWALL</t>
  </si>
  <si>
    <t xml:space="preserve">6.5.3</t>
  </si>
  <si>
    <t xml:space="preserve">PINTURA DO TETO - LAJE E DRYWALL</t>
  </si>
  <si>
    <t xml:space="preserve">6.5.4</t>
  </si>
  <si>
    <t xml:space="preserve">FORRO BEIRAL EM PVC</t>
  </si>
  <si>
    <t xml:space="preserve">6.5.5</t>
  </si>
  <si>
    <t xml:space="preserve">FORRO BEIRAL EM PVC - ACABAMENTO</t>
  </si>
  <si>
    <t xml:space="preserve">6.6</t>
  </si>
  <si>
    <t xml:space="preserve">FUNDOS - ESQUADRIAS</t>
  </si>
  <si>
    <t xml:space="preserve">6.6.1</t>
  </si>
  <si>
    <t xml:space="preserve">JANELA EM "BLINDEX" - (1x1,5x1,2)+(2x 3,0x1,2M)</t>
  </si>
  <si>
    <t xml:space="preserve">6.6.2</t>
  </si>
  <si>
    <t xml:space="preserve">PEITORIL JANELAS</t>
  </si>
  <si>
    <t xml:space="preserve">101965</t>
  </si>
  <si>
    <t xml:space="preserve">PEITORIL LINEAR EM GRANITO ASSENTADO COM ARGAMASSA 1:6 COM ADITIVO. AF_11/2020</t>
  </si>
  <si>
    <t xml:space="preserve">6.6.3</t>
  </si>
  <si>
    <t xml:space="preserve">PORTA DE CORRER "BLINDEX"</t>
  </si>
  <si>
    <t xml:space="preserve">6.7</t>
  </si>
  <si>
    <t xml:space="preserve">FUNDOS - BANCADAS DA COZINHA</t>
  </si>
  <si>
    <t xml:space="preserve">6.7.1</t>
  </si>
  <si>
    <t xml:space="preserve">BASE DA BANCADA 15cm</t>
  </si>
  <si>
    <t xml:space="preserve">6.7.2</t>
  </si>
  <si>
    <t xml:space="preserve">BASE DA BANCADA 20cm</t>
  </si>
  <si>
    <t xml:space="preserve">6.7.3</t>
  </si>
  <si>
    <t xml:space="preserve">ACABAMENTO BASE</t>
  </si>
  <si>
    <t xml:space="preserve">CHAPISCO APLICADO EM ALVENARIAS E ESTRUTURAS DE CONCRETO INTERNAS, COM COLHER DE PEDREIRO.  ARGAMASSA TRAÇO 1:3 COM PREPARO MANUAL. AF_06/2014</t>
  </si>
  <si>
    <t xml:space="preserve">R$ 21,05</t>
  </si>
  <si>
    <t xml:space="preserve">6.7.4</t>
  </si>
  <si>
    <t xml:space="preserve">87531</t>
  </si>
  <si>
    <t xml:space="preserve"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</si>
  <si>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 xml:space="preserve">R$ 152,70</t>
  </si>
  <si>
    <t xml:space="preserve">6.7.5</t>
  </si>
  <si>
    <t xml:space="preserve">RODAPÉ H=10CM (CIMENTO QUEIMADO)</t>
  </si>
  <si>
    <t xml:space="preserve">6.7.6</t>
  </si>
  <si>
    <t xml:space="preserve">6.7.7</t>
  </si>
  <si>
    <t xml:space="preserve">6.7.8</t>
  </si>
  <si>
    <t xml:space="preserve">6.7.9</t>
  </si>
  <si>
    <t xml:space="preserve">TAMPO EM GRANITO</t>
  </si>
  <si>
    <t xml:space="preserve">COMP.03</t>
  </si>
  <si>
    <t xml:space="preserve">BANCADA DE GRANITO CINZA POLIDO, PARA PIA DE COZINHA - FORNECIMENTO E INSTALAÇÃO. AF_01/2020</t>
  </si>
  <si>
    <t xml:space="preserve">6.7.10</t>
  </si>
  <si>
    <t xml:space="preserve">CUBAS</t>
  </si>
  <si>
    <t xml:space="preserve">86935</t>
  </si>
  <si>
    <t xml:space="preserve">CUBA DE EMBUTIR DE AÇO INOXIDÁVEL MÉDIA, INCLUSO VÁLVULA TIPO AMERICANA EM METAL CROMADO E SIFÃO FLEXÍVEL EM PVC - FORNECIMENTO E INSTALAÇÃO. AF_01/2020</t>
  </si>
  <si>
    <t xml:space="preserve">6.7.11</t>
  </si>
  <si>
    <t xml:space="preserve">TORNEIRAS</t>
  </si>
  <si>
    <t xml:space="preserve">86909</t>
  </si>
  <si>
    <t xml:space="preserve">TORNEIRA CROMADA TUBO MÓVEL, DE MESA, 1/2_x005F_x0094_ OU 3/4_x005F_x0094_, PARA PIA DE COZINHA, PADRÃO ALTO - FORNECIMENTO E INSTALAÇÃO. AF_01/2020</t>
  </si>
  <si>
    <t xml:space="preserve">6.8</t>
  </si>
  <si>
    <t xml:space="preserve">FUNDOS - ABRIGO DE GÁS</t>
  </si>
  <si>
    <t xml:space="preserve">6.8.1</t>
  </si>
  <si>
    <t xml:space="preserve">ABRIGO DE GÁS</t>
  </si>
  <si>
    <t xml:space="preserve">6.8.2</t>
  </si>
  <si>
    <t xml:space="preserve">LAJE PRÉ-MOLDADA UNIDIRECIONAL, BIAPOIADA, PARA FORRO, ENCHIMENTO EM CERÂMICA, VIGOTA CONVENCIONAL, ALTURA TOTAL DA LAJE (ENCHIMENTO+CAPA) = (8+3). AF_11/2020</t>
  </si>
  <si>
    <t xml:space="preserve">R$ 63,48</t>
  </si>
  <si>
    <t xml:space="preserve">6.8.3</t>
  </si>
  <si>
    <t xml:space="preserve">6.8.4</t>
  </si>
  <si>
    <t xml:space="preserve">6.8.5</t>
  </si>
  <si>
    <t xml:space="preserve">6.8.6</t>
  </si>
  <si>
    <t xml:space="preserve">EXECUÇÃO DE PASSEIO (CALÇADA) OU PISO DE CONCRETO COM CONCRETO MOLDADO IN LOCO, FEITO EM OBRA, ACABAMENTO CONVENCIONAL, ESPESSURA 6 CM, ARMADO. AF_07/2016</t>
  </si>
  <si>
    <t xml:space="preserve">6.8.7</t>
  </si>
  <si>
    <t xml:space="preserve">91341</t>
  </si>
  <si>
    <t xml:space="preserve">PORTA EM ALUMÍNIO DE ABRIR TIPO VENEZIANA COM GUARNIÇÃO, FIXAÇÃO COM PARAFUSOS - FORNECIMENTO E INSTALAÇÃO. AF_12/2019</t>
  </si>
  <si>
    <t xml:space="preserve">6.8.8</t>
  </si>
  <si>
    <t xml:space="preserve">REGISTRO </t>
  </si>
  <si>
    <t xml:space="preserve">103029</t>
  </si>
  <si>
    <t xml:space="preserve">REGISTRO OU REGULADOR DE GÁS DE COZINHA - FORNECIMENTO E INSTALAÇÃO. AF_08/2021</t>
  </si>
  <si>
    <t xml:space="preserve">6.8.9</t>
  </si>
  <si>
    <t xml:space="preserve">ABRAÇADEIRAS</t>
  </si>
  <si>
    <t xml:space="preserve">11927
INSUMO</t>
  </si>
  <si>
    <t xml:space="preserve">ADAPT - ABRACADEIRA, GALVANIZADA/ZINCADA, ROSCA SEM FIM, PARAFUSO INOX, LARGURA FITA *12,6 A *14 MM, D = 2" A 2 1/2"</t>
  </si>
  <si>
    <t xml:space="preserve">6.8.10</t>
  </si>
  <si>
    <t xml:space="preserve">MAGUEIRA</t>
  </si>
  <si>
    <t xml:space="preserve">20260</t>
  </si>
  <si>
    <t xml:space="preserve">MANGUEIRA PARA GAS - GLP, PVC, TRANCADA, DIAMETRO DE 3/8", COMPRIMENTO DE 1M (NORMATIZADA)</t>
  </si>
  <si>
    <t xml:space="preserve">7</t>
  </si>
  <si>
    <t xml:space="preserve">PASSARELA</t>
  </si>
  <si>
    <t xml:space="preserve">7.1</t>
  </si>
  <si>
    <t xml:space="preserve">ESCAVAÇÃO</t>
  </si>
  <si>
    <t xml:space="preserve">7.2</t>
  </si>
  <si>
    <t xml:space="preserve">CONCRETO</t>
  </si>
  <si>
    <t xml:space="preserve">94964</t>
  </si>
  <si>
    <t xml:space="preserve">CONCRETO FCK = 20MPA, TRAÇO 1:2,7:3 (EM MASSA SECA DE CIMENTO/ AREIA MÉDIA/ BRITA 1) - PREPARO MECÂNICO COM BETONEIRA 400 L. AF_05/2021</t>
  </si>
  <si>
    <t xml:space="preserve">7.3</t>
  </si>
  <si>
    <t xml:space="preserve">TUBO 5CM</t>
  </si>
  <si>
    <t xml:space="preserve">12944/ORSE</t>
  </si>
  <si>
    <t xml:space="preserve">Fornecimento e montagem de tubo de aço galvanizado de 2"</t>
  </si>
  <si>
    <t xml:space="preserve">7.4</t>
  </si>
  <si>
    <t xml:space="preserve">METALON 
20X30 1.5MM 
50X30 2.0 MM</t>
  </si>
  <si>
    <t xml:space="preserve">92593</t>
  </si>
  <si>
    <t xml:space="preserve">[ADAPTADO] - EXECUÇÃO DE ESTRUTURA METÁLICA INCLUSO PERFIS, SOLDAS, PARAFUSOS. FORNECIMENTO E INSTALAÇÃO. 
FABRICAÇÃO E INSTALAÇÃO DE TESOURA INTEIRA EM AÇO, PARA VÃOS DE 3 A 12 M E PARA QUALQUER TIPO DE TELHA, INCLUSO IÇAMENTO. </t>
  </si>
  <si>
    <t xml:space="preserve">KG</t>
  </si>
  <si>
    <t xml:space="preserve">7.5</t>
  </si>
  <si>
    <t xml:space="preserve">TELHA</t>
  </si>
  <si>
    <t xml:space="preserve">94213</t>
  </si>
  <si>
    <t xml:space="preserve">TELHAMENTO COM TELHA DE AÇO/ALUMÍNIO E = 0,5 MM, COM ATÉ 2 ÁGUAS, INCLUSO IÇAMENTO. AF_07/2019</t>
  </si>
  <si>
    <t xml:space="preserve">7.6</t>
  </si>
  <si>
    <t xml:space="preserve">PINTURA EST. - TUBOS E VIGAS</t>
  </si>
  <si>
    <t xml:space="preserve">PINTURA COM TINTA ALQUÍDICA DE FUNDO E ACABAMENTO (ESMALTE SINTÉTICO GRAFITE) PULVERIZADA SOBRE PERFIL METÁLICO EXECUTADO EM FÁBRICA (POR DEMÃO). AF_01/2020_P</t>
  </si>
  <si>
    <t xml:space="preserve">7.7</t>
  </si>
  <si>
    <t xml:space="preserve">MANTA ASFÁLTICA JUNÇÕES L=30CM</t>
  </si>
  <si>
    <t xml:space="preserve">98576</t>
  </si>
  <si>
    <t xml:space="preserve">MANTA ASFALTICA ELASTOMERICA EM POLIESTER ALUMINIZADA 3 MM, TIPO III, CLASSE B (NBR 9952)</t>
  </si>
  <si>
    <t xml:space="preserve">8</t>
  </si>
  <si>
    <t xml:space="preserve">PREVENÇÃO DE INCÊNDIO</t>
  </si>
  <si>
    <t xml:space="preserve">8.1</t>
  </si>
  <si>
    <t xml:space="preserve">EXTINTOR ÁGUA 10L</t>
  </si>
  <si>
    <t xml:space="preserve">101905</t>
  </si>
  <si>
    <t xml:space="preserve">EXTINTOR DE INCÊNDIO PORTÁTIL COM CARGA DE ÁGUA PRESSURIZADA DE 10 L, CLASSE A - FORNECIMENTO E INSTALAÇÃO. AF_10/2020_P</t>
  </si>
  <si>
    <t xml:space="preserve">8.2</t>
  </si>
  <si>
    <t xml:space="preserve">EXTINTOR PQS 4 KG</t>
  </si>
  <si>
    <t xml:space="preserve">101908</t>
  </si>
  <si>
    <t xml:space="preserve">EXTINTOR DE INCÊNDIO PORTÁTIL COM CARGA DE PQS DE 4 KG, CLASSE BC - FORNECIMENTO E INSTALAÇÃO. AF_10/2020_P</t>
  </si>
  <si>
    <t xml:space="preserve">8.3</t>
  </si>
  <si>
    <t xml:space="preserve">PLACA EXTINTOR E5 </t>
  </si>
  <si>
    <t xml:space="preserve">37539 INS</t>
  </si>
  <si>
    <t xml:space="preserve">PLACA DE SINALIZACAO DE SEGURANCA CONTRA INCENDIO, FOTOLUMINESCENTE, RETANGULAR, *13 X 26* CM, EM PVC *2* MM ANTI-CHAMAS (SIMBOLOS, CORES E PICTOGRAMAS CONFORME NBR 13434)</t>
  </si>
  <si>
    <t xml:space="preserve">8.4</t>
  </si>
  <si>
    <t xml:space="preserve">PLACA SAÍDA S3/S12</t>
  </si>
  <si>
    <t xml:space="preserve">37559 INS</t>
  </si>
  <si>
    <t xml:space="preserve">PLACA DE SINALIZACAO DE SEGURANCA CONTRA INCENDIO, FOTOLUMINESCENTE, RETANGULAR, *12 X 40* CM, EM PVC *2* MM ANTI-CHAMAS (SIMBOLOS, CORES E PICTOGRAMAS CONFORME NBR 13434)</t>
  </si>
  <si>
    <t xml:space="preserve">8.5</t>
  </si>
  <si>
    <t xml:space="preserve">LUMINÁRIA EMERGÊNCIA 30 LED</t>
  </si>
  <si>
    <t xml:space="preserve">97599</t>
  </si>
  <si>
    <t xml:space="preserve">LUMINÁRIA DE EMERGÊNCIA, COM 30 LÂMPADAS LED DE 2 W, SEM REATOR - FORNECIMENTO E INSTALAÇÃO. AF_02/2020</t>
  </si>
  <si>
    <t xml:space="preserve">9</t>
  </si>
  <si>
    <t xml:space="preserve">LIMPEZA E RCC</t>
  </si>
  <si>
    <t xml:space="preserve">9.1</t>
  </si>
  <si>
    <t xml:space="preserve">LIMPEZA GERAL DA OBRA - PISOS, ESQUADRIAS, FORROS, BANCADAS E INSTALAÇÕES</t>
  </si>
  <si>
    <r>
      <rPr>
        <sz val="10"/>
        <color rgb="FF000000"/>
        <rFont val="Calibri"/>
        <family val="0"/>
        <charset val="1"/>
      </rPr>
      <t xml:space="preserve">99803
</t>
    </r>
    <r>
      <rPr>
        <i val="true"/>
        <sz val="10"/>
        <color rgb="FF000000"/>
        <rFont val="Calibri"/>
        <family val="0"/>
        <charset val="1"/>
      </rPr>
      <t xml:space="preserve">ADAPTADO</t>
    </r>
  </si>
  <si>
    <t xml:space="preserve">(ADAPTADO PARA LIMPEZA FINAL DA OBRA)
LIMPEZA DE PISO CERÂMICO OU PORCELANATO COM PANO ÚMIDO. AF_04/2019 -  PISOS, ESQUADRIAS, FORROS, BANCADAS E INSTALAÇÕES</t>
  </si>
  <si>
    <t xml:space="preserve">9.2</t>
  </si>
  <si>
    <t xml:space="preserve">RETIRADA DE ENTULHO</t>
  </si>
  <si>
    <t xml:space="preserve">100982</t>
  </si>
  <si>
    <t xml:space="preserve">CARGA, MANOBRA E DESCARGA DE ENTULHO EM CAMINHÃO BASCULANTE 10 M³ - CARGA COM ESCAVADEIRA HIDRÁULICA  (CAÇAMBA DE 0,80 M³ / 111 HP) E DESCARGA LIVRE (UNIDADE: M3). AF_07/2020</t>
  </si>
  <si>
    <t xml:space="preserve">9.3</t>
  </si>
  <si>
    <t xml:space="preserve">95875</t>
  </si>
  <si>
    <t xml:space="preserve">TRANSPORTE COM CAMINHÃO BASCULANTE DE 10 M³, EM VIA URBANA PAVIMENTADA, DMT ATÉ 30 KM (UNIDADE: M3XKM). AF_07/2020</t>
  </si>
  <si>
    <t xml:space="preserve">M3XKM</t>
  </si>
  <si>
    <t xml:space="preserve">10</t>
  </si>
  <si>
    <t xml:space="preserve">REDE LÓGICA</t>
  </si>
  <si>
    <t xml:space="preserve">10.1</t>
  </si>
  <si>
    <t xml:space="preserve">ELETRODUTO PVC APARENTE + ACESSÓRIOS</t>
  </si>
  <si>
    <t xml:space="preserve">10.2</t>
  </si>
  <si>
    <t xml:space="preserve">ELETRODUTO ESPERA RACK</t>
  </si>
  <si>
    <t xml:space="preserve">10.3</t>
  </si>
  <si>
    <t xml:space="preserve">CONDULETE PVC</t>
  </si>
  <si>
    <t xml:space="preserve">10.4</t>
  </si>
  <si>
    <t xml:space="preserve">TAMPA MODULO RJ</t>
  </si>
  <si>
    <t xml:space="preserve">39350</t>
  </si>
  <si>
    <t xml:space="preserve">TAMPA PARA CONDULETE, EM PVC, PARA 1 MODULO RJ</t>
  </si>
  <si>
    <t xml:space="preserve">10.5</t>
  </si>
  <si>
    <t xml:space="preserve">CONECTOR RJ 45 FÊMEA</t>
  </si>
  <si>
    <t xml:space="preserve">39600</t>
  </si>
  <si>
    <t xml:space="preserve">CONECTOR / TOMADA FEMEA RJ 45, CATEGORIA 5 E (CAT 5E) PARA CABOS</t>
  </si>
  <si>
    <t xml:space="preserve">10.6</t>
  </si>
  <si>
    <t xml:space="preserve">CABO CAT 5E</t>
  </si>
  <si>
    <t xml:space="preserve">98295</t>
  </si>
  <si>
    <t xml:space="preserve">CABO ELETRÔNICO CATEGORIA 5E, INSTALADO EM EDIFICAÇÃO INSTITUCIONAL - FORNECIMENTO E INSTALAÇÃO. AF_11/2019</t>
  </si>
  <si>
    <t xml:space="preserve">10.7</t>
  </si>
  <si>
    <t xml:space="preserve">CAIXA PASSAGEM PVC</t>
  </si>
  <si>
    <t xml:space="preserve">91944</t>
  </si>
  <si>
    <t xml:space="preserve">CAIXA RETANGULAR 4" X 4" BAIXA (0,30 M DO PISO), PVC, INSTALADA EM PAREDE - FORNECIMENTO E INSTALAÇÃO. AF_12/2015</t>
  </si>
  <si>
    <t xml:space="preserve">COMPOSIÇÕES UENP</t>
  </si>
  <si>
    <t xml:space="preserve">COMP.01</t>
  </si>
  <si>
    <t xml:space="preserve">QNT.</t>
  </si>
  <si>
    <t xml:space="preserve">MAT. + EQUIP.</t>
  </si>
  <si>
    <t xml:space="preserve">VALOR UNITÁRIO</t>
  </si>
  <si>
    <t xml:space="preserve">VALOR TOTAL</t>
  </si>
  <si>
    <t xml:space="preserve">SERVENTE COM ENCARGOS COMPLEMENTARES</t>
  </si>
  <si>
    <t xml:space="preserve">H</t>
  </si>
  <si>
    <t xml:space="preserve">Total</t>
  </si>
  <si>
    <t xml:space="preserve">COMP.02</t>
  </si>
  <si>
    <t xml:space="preserve">MASSA PLASTICA PARA MARMORE/GRANITO</t>
  </si>
  <si>
    <t xml:space="preserve">BUCHA DE NYLON SEM ABA S10, COM PARAFUSO DE 6,10 X 65 MM EM ACO ZINCADO COM ROSCA SOBERBA, CABECA CHATA E FENDA PHILLIPS</t>
  </si>
  <si>
    <t xml:space="preserve">GRANITO PARA BANCADA, POLIDO, TIPO ANDORINHA/ QUARTZ/ CASTELO/ CORUMBA OU OUTROS EQUIVALENTES DA REGIAO, E=  *2,5* CM</t>
  </si>
  <si>
    <t xml:space="preserve">M2</t>
  </si>
  <si>
    <t xml:space="preserve">REJUNTE EPOXI, QUALQUER COR</t>
  </si>
  <si>
    <t xml:space="preserve">SUPORTE MAO-FRANCESA EM ACO, ABAS IGUAIS 40 CM, CAPACIDADE MINIMA 70 KG, BRANCO</t>
  </si>
  <si>
    <t xml:space="preserve">MARMORISTA/GRANITEIRO COM ENCARGOS COMPLEMENTARES</t>
  </si>
  <si>
    <t xml:space="preserve">COMP.04</t>
  </si>
  <si>
    <t xml:space="preserve">ELEMENTO VAZADO CERAMICO QUADRADO (TIPO RETO OU REDONDO), *7 A 9 X 20 X 20* CM (L X A X C)</t>
  </si>
  <si>
    <t xml:space="preserve">PEDREIRO COM ENCARGOS COMPLEMENTARES</t>
  </si>
  <si>
    <t xml:space="preserve">ARGAMASSA TRAÇO 1:3 (EM VOLUME DE CIMENTO E AREIA MÉDIA ÚMIDA), PREPARO MECÂNICO COM BETONEIRA 600 L. AF_08/2019</t>
  </si>
  <si>
    <t xml:space="preserve">M3</t>
  </si>
  <si>
    <t xml:space="preserve">CRONOGRAMA FÍSICO- FINANCEIRO</t>
  </si>
  <si>
    <t xml:space="preserve">SERVIÇO/LOCAL</t>
  </si>
  <si>
    <t xml:space="preserve">MÊS 1</t>
  </si>
  <si>
    <t xml:space="preserve">MÊS 2</t>
  </si>
  <si>
    <t xml:space="preserve">MÊS 3</t>
  </si>
  <si>
    <t xml:space="preserve">MÊS 4</t>
  </si>
  <si>
    <t xml:space="preserve">MÊS 5</t>
  </si>
  <si>
    <t xml:space="preserve">Valores</t>
  </si>
  <si>
    <t xml:space="preserve">%</t>
  </si>
  <si>
    <t xml:space="preserve">R$</t>
  </si>
  <si>
    <t xml:space="preserve">R$ parcial (valor período)</t>
  </si>
  <si>
    <t xml:space="preserve">%_parcial  (período)</t>
  </si>
  <si>
    <t xml:space="preserve">R$_ acumulado</t>
  </si>
  <si>
    <t xml:space="preserve">%_acumulado</t>
  </si>
  <si>
    <t xml:space="preserve">COMPOSIÇÃO DO BDI </t>
  </si>
  <si>
    <t xml:space="preserve">CUSTO TOTAL DO SERVIÇO (R$)</t>
  </si>
  <si>
    <t xml:space="preserve">DISCRIMINAÇÃO</t>
  </si>
  <si>
    <t xml:space="preserve">VALOR</t>
  </si>
  <si>
    <t xml:space="preserve">TAXA (%)</t>
  </si>
  <si>
    <t xml:space="preserve">OBSERVAÇÃO</t>
  </si>
  <si>
    <t xml:space="preserve">SITUAÇÃO DO INTERVALO ADMISSÍVEL</t>
  </si>
  <si>
    <t xml:space="preserve">PARCELAS DO BDI (%)</t>
  </si>
  <si>
    <t xml:space="preserve">1 QUARTIL</t>
  </si>
  <si>
    <t xml:space="preserve">MÉDIO</t>
  </si>
  <si>
    <t xml:space="preserve">3 QUARTIL</t>
  </si>
  <si>
    <t xml:space="preserve">AC – ADMINISTRAÇÃO CENTRAL</t>
  </si>
  <si>
    <t xml:space="preserve">OK</t>
  </si>
  <si>
    <t xml:space="preserve">SG – SEGUROS + GARANTIA</t>
  </si>
  <si>
    <t xml:space="preserve">R – RISCOS</t>
  </si>
  <si>
    <t xml:space="preserve">DF – DESPESAS FINANCEIRAS</t>
  </si>
  <si>
    <t xml:space="preserve">L – LUCRO BRUTO</t>
  </si>
  <si>
    <t xml:space="preserve">I – IMPOSTOS</t>
  </si>
  <si>
    <t xml:space="preserve">FÓRMULA DO BDI DE ACORDO COM ACÓRDÃO 2.369/2011-TCU- PLENÁRIO</t>
  </si>
  <si>
    <t xml:space="preserve">PIS</t>
  </si>
  <si>
    <t xml:space="preserve">COFINS</t>
  </si>
  <si>
    <t xml:space="preserve">ISS (CONFORME LEGISLAÇÃO MUNICIPAL)</t>
  </si>
  <si>
    <t xml:space="preserve">CONTRIB. PREVIDÊNCIA SOBRE RECEITA BRUTA – CPRB</t>
  </si>
  <si>
    <t xml:space="preserve">TOTAL DO BDI (R$)</t>
  </si>
  <si>
    <t xml:space="preserve">PREÇO DE VENDA (R$)</t>
  </si>
  <si>
    <t xml:space="preserve">ONDE:</t>
  </si>
  <si>
    <t xml:space="preserve">BDI (%)</t>
  </si>
  <si>
    <t xml:space="preserve">AC : TAXA DE ADMINISTRAÇÃO CENTRAL</t>
  </si>
  <si>
    <t xml:space="preserve">S: TAXA DE SEGURO</t>
  </si>
  <si>
    <t xml:space="preserve">G: TAXA DE GARANTIAS</t>
  </si>
  <si>
    <t xml:space="preserve">R: TAXA DE RISCOS</t>
  </si>
  <si>
    <t xml:space="preserve">DF: TAXA DE DESPESAS</t>
  </si>
  <si>
    <t xml:space="preserve">L: TAXA DE LUCRO</t>
  </si>
  <si>
    <t xml:space="preserve">I: TAXA DE INCIDÊNCIA DE IMPOSTOS (PIS, COFINS, ISS, CPRB)</t>
  </si>
  <si>
    <t xml:space="preserve">COMPOSIÇÃO DO BDI REDUZIDO</t>
  </si>
  <si>
    <t xml:space="preserve">Parâmetros do Acórdão 2.622/2013 - Plenário</t>
  </si>
  <si>
    <t xml:space="preserve">Sem CPRB</t>
  </si>
  <si>
    <t xml:space="preserve">Com CPRB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</si>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</sst>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@"/>
    <numFmt numFmtId="166" formatCode="[$R$-416]\ #,##0.00;[RED]\-[$R$-416]\ #,##0.00"/>
    <numFmt numFmtId="167" formatCode="0.00%"/>
    <numFmt numFmtId="168" formatCode="[$R$ -416]#,##0.00"/>
    <numFmt numFmtId="169" formatCode="#,##0.00"/>
    <numFmt numFmtId="170" formatCode="0.00"/>
    <numFmt numFmtId="171" formatCode="0.0%"/>
    <numFmt numFmtId="172" formatCode="_-&quot;R$ &quot;* #,##0.00_-;&quot;-R$ &quot;* #,##0.00_-;_-&quot;R$ &quot;* \-??_-;_-@"/>
    <numFmt numFmtId="173" formatCode="0%"/>
    <numFmt numFmtId="174" formatCode="D\.M"/>
  </numFmts>
  <fonts count="25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0"/>
      <charset val="1"/>
    </font>
    <font>
      <b val="true"/>
      <sz val="12"/>
      <color rgb="FF345168"/>
      <name val="Calibri"/>
      <family val="0"/>
      <charset val="1"/>
    </font>
    <font>
      <sz val="12"/>
      <color rgb="FF000000"/>
      <name val="Calibri"/>
      <family val="0"/>
      <charset val="1"/>
    </font>
    <font>
      <sz val="11"/>
      <color rgb="FF000000"/>
      <name val="Arial"/>
      <family val="0"/>
      <charset val="1"/>
    </font>
    <font>
      <b val="true"/>
      <sz val="12"/>
      <color rgb="FF000000"/>
      <name val="Calibri"/>
      <family val="0"/>
      <charset val="1"/>
    </font>
    <font>
      <b val="true"/>
      <sz val="10"/>
      <color rgb="FF000000"/>
      <name val="Calibri"/>
      <family val="0"/>
      <charset val="1"/>
    </font>
    <font>
      <sz val="11"/>
      <color rgb="FF000000"/>
      <name val="Calibri"/>
      <family val="0"/>
      <charset val="1"/>
    </font>
    <font>
      <sz val="8"/>
      <color rgb="FF000000"/>
      <name val="Calibri"/>
      <family val="0"/>
      <charset val="1"/>
    </font>
    <font>
      <b val="true"/>
      <sz val="12"/>
      <color rgb="FFFFFFFF"/>
      <name val="Calibri"/>
      <family val="0"/>
      <charset val="1"/>
    </font>
    <font>
      <sz val="12"/>
      <color rgb="FFFFFFFF"/>
      <name val="Calibri"/>
      <family val="0"/>
      <charset val="1"/>
    </font>
    <font>
      <b val="true"/>
      <sz val="11"/>
      <color rgb="FF000000"/>
      <name val="Calibri"/>
      <family val="0"/>
      <charset val="1"/>
    </font>
    <font>
      <b val="true"/>
      <sz val="11"/>
      <color rgb="FFFF0000"/>
      <name val="Calibri"/>
      <family val="0"/>
      <charset val="1"/>
    </font>
    <font>
      <b val="true"/>
      <sz val="11"/>
      <color rgb="FF000000"/>
      <name val="Arial"/>
      <family val="0"/>
      <charset val="1"/>
    </font>
    <font>
      <i val="true"/>
      <sz val="11"/>
      <color rgb="FF000000"/>
      <name val="Calibri"/>
      <family val="0"/>
      <charset val="1"/>
    </font>
    <font>
      <i val="true"/>
      <sz val="10"/>
      <color rgb="FF000000"/>
      <name val="Calibri"/>
      <family val="0"/>
      <charset val="1"/>
    </font>
    <font>
      <b val="true"/>
      <sz val="14"/>
      <color rgb="FFFFFFFF"/>
      <name val="Calibri"/>
      <family val="0"/>
      <charset val="1"/>
    </font>
    <font>
      <b val="true"/>
      <sz val="8"/>
      <color rgb="FF000000"/>
      <name val="Calibri"/>
      <family val="0"/>
      <charset val="1"/>
    </font>
    <font>
      <sz val="10"/>
      <color rgb="FF345168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sz val="8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345168"/>
        <bgColor rgb="FF333333"/>
      </patternFill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rgb="FFB4C7DC"/>
        <bgColor rgb="FF99CCFF"/>
      </patternFill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2CC"/>
      </left>
      <right style="thin">
        <color rgb="FFFFF2CC"/>
      </right>
      <top style="thin">
        <color rgb="FFFFF2CC"/>
      </top>
      <bottom style="thin">
        <color rgb="FFFFF2CC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3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8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3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2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5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5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5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9" fillId="5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0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4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0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0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9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9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4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5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5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7" fillId="5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7" fillId="5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4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3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3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4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4" fillId="3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0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3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3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0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0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7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7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7" fillId="4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4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4" fillId="4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4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6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2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4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4" fillId="0" borderId="3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1" fontId="4" fillId="7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4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4" fillId="7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4" fillId="0" borderId="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4" fillId="7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4" fillId="7" borderId="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1" fontId="4" fillId="7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4" fillId="7" borderId="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3" fontId="4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2" fontId="9" fillId="0" borderId="8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2" fontId="9" fillId="0" borderId="3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3" fontId="4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9" fillId="7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9" fillId="7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9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3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4" fontId="23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2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ill>
        <patternFill>
          <bgColor rgb="FF00FF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A64D79"/>
      <rgbColor rgb="FFFFF2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BF9000"/>
      <rgbColor rgb="FFFF6600"/>
      <rgbColor rgb="FF666699"/>
      <rgbColor rgb="FF969696"/>
      <rgbColor rgb="FF003366"/>
      <rgbColor rgb="FF339966"/>
      <rgbColor rgb="FF003300"/>
      <rgbColor rgb="FF274E13"/>
      <rgbColor rgb="FF993300"/>
      <rgbColor rgb="FF993366"/>
      <rgbColor rgb="FF34516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6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7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8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9360</xdr:colOff>
      <xdr:row>1</xdr:row>
      <xdr:rowOff>104760</xdr:rowOff>
    </xdr:from>
    <xdr:to>
      <xdr:col>3</xdr:col>
      <xdr:colOff>435960</xdr:colOff>
      <xdr:row>9</xdr:row>
      <xdr:rowOff>47160</xdr:rowOff>
    </xdr:to>
    <xdr:pic>
      <xdr:nvPicPr>
        <xdr:cNvPr id="0" name="image2.png" descr=""/>
        <xdr:cNvPicPr/>
      </xdr:nvPicPr>
      <xdr:blipFill>
        <a:blip r:embed="rId1"/>
        <a:stretch/>
      </xdr:blipFill>
      <xdr:spPr>
        <a:xfrm>
          <a:off x="2196720" y="266400"/>
          <a:ext cx="1114200" cy="13618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2190600</xdr:colOff>
      <xdr:row>1</xdr:row>
      <xdr:rowOff>133200</xdr:rowOff>
    </xdr:from>
    <xdr:to>
      <xdr:col>3</xdr:col>
      <xdr:colOff>278280</xdr:colOff>
      <xdr:row>8</xdr:row>
      <xdr:rowOff>171000</xdr:rowOff>
    </xdr:to>
    <xdr:pic>
      <xdr:nvPicPr>
        <xdr:cNvPr id="1" name="image1.png" descr=""/>
        <xdr:cNvPicPr/>
      </xdr:nvPicPr>
      <xdr:blipFill>
        <a:blip r:embed="rId1"/>
        <a:stretch/>
      </xdr:blipFill>
      <xdr:spPr>
        <a:xfrm>
          <a:off x="3205080" y="323640"/>
          <a:ext cx="1342800" cy="13712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2286000</xdr:colOff>
      <xdr:row>1</xdr:row>
      <xdr:rowOff>181080</xdr:rowOff>
    </xdr:from>
    <xdr:to>
      <xdr:col>2</xdr:col>
      <xdr:colOff>1122840</xdr:colOff>
      <xdr:row>9</xdr:row>
      <xdr:rowOff>47520</xdr:rowOff>
    </xdr:to>
    <xdr:pic>
      <xdr:nvPicPr>
        <xdr:cNvPr id="2" name="image2.png" descr=""/>
        <xdr:cNvPicPr/>
      </xdr:nvPicPr>
      <xdr:blipFill>
        <a:blip r:embed="rId1"/>
        <a:stretch/>
      </xdr:blipFill>
      <xdr:spPr>
        <a:xfrm>
          <a:off x="2753280" y="371520"/>
          <a:ext cx="1333080" cy="13903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390600</xdr:colOff>
      <xdr:row>2</xdr:row>
      <xdr:rowOff>38160</xdr:rowOff>
    </xdr:from>
    <xdr:to>
      <xdr:col>3</xdr:col>
      <xdr:colOff>737640</xdr:colOff>
      <xdr:row>9</xdr:row>
      <xdr:rowOff>66600</xdr:rowOff>
    </xdr:to>
    <xdr:pic>
      <xdr:nvPicPr>
        <xdr:cNvPr id="3" name="image2.png" descr=""/>
        <xdr:cNvPicPr/>
      </xdr:nvPicPr>
      <xdr:blipFill>
        <a:blip r:embed="rId1"/>
        <a:stretch/>
      </xdr:blipFill>
      <xdr:spPr>
        <a:xfrm>
          <a:off x="2419920" y="419040"/>
          <a:ext cx="1361880" cy="134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76320</xdr:colOff>
      <xdr:row>20</xdr:row>
      <xdr:rowOff>38160</xdr:rowOff>
    </xdr:from>
    <xdr:to>
      <xdr:col>10</xdr:col>
      <xdr:colOff>398880</xdr:colOff>
      <xdr:row>24</xdr:row>
      <xdr:rowOff>114120</xdr:rowOff>
    </xdr:to>
    <xdr:pic>
      <xdr:nvPicPr>
        <xdr:cNvPr id="4" name="image3.png" descr=""/>
        <xdr:cNvPicPr/>
      </xdr:nvPicPr>
      <xdr:blipFill>
        <a:blip r:embed="rId2"/>
        <a:stretch/>
      </xdr:blipFill>
      <xdr:spPr>
        <a:xfrm>
          <a:off x="6164640" y="3828960"/>
          <a:ext cx="4381200" cy="875880"/>
        </a:xfrm>
        <a:prstGeom prst="rect">
          <a:avLst/>
        </a:prstGeom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_1" displayName="Table_1" ref="A14:N31" headerRowCount="0" totalsRowCount="0" totalsRowShown="0">
  <tableColumns count="14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table" Target="../tables/table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BF9000"/>
    <pageSetUpPr fitToPage="true"/>
  </sheetPr>
  <dimension ref="A1:AZ54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O12" activeCellId="0" sqref="O12"/>
    </sheetView>
  </sheetViews>
  <sheetFormatPr defaultRowHeight="15" zeroHeight="false" outlineLevelRow="0" outlineLevelCol="0"/>
  <cols>
    <col collapsed="false" customWidth="true" hidden="false" outlineLevel="0" max="1" min="1" style="0" width="5.88"/>
    <col collapsed="false" customWidth="true" hidden="false" outlineLevel="0" max="2" min="2" style="0" width="25.13"/>
    <col collapsed="false" customWidth="true" hidden="false" outlineLevel="0" max="3" min="3" style="0" width="9.74"/>
    <col collapsed="false" customWidth="true" hidden="false" outlineLevel="0" max="4" min="4" style="0" width="41.87"/>
    <col collapsed="false" customWidth="true" hidden="false" outlineLevel="0" max="5" min="5" style="0" width="6.01"/>
    <col collapsed="false" customWidth="true" hidden="false" outlineLevel="0" max="6" min="6" style="0" width="6.88"/>
    <col collapsed="false" customWidth="true" hidden="false" outlineLevel="0" max="12" min="7" style="0" width="15.26"/>
    <col collapsed="false" customWidth="true" hidden="false" outlineLevel="0" max="13" min="13" style="0" width="18.63"/>
    <col collapsed="false" customWidth="true" hidden="false" outlineLevel="0" max="14" min="14" style="0" width="28.25"/>
    <col collapsed="false" customWidth="true" hidden="false" outlineLevel="0" max="52" min="15" style="0" width="8.75"/>
    <col collapsed="false" customWidth="true" hidden="false" outlineLevel="0" max="1025" min="53" style="0" width="12.63"/>
  </cols>
  <sheetData>
    <row r="1" customFormat="false" ht="12.7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customFormat="false" ht="12.75" hidden="false" customHeight="tru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customFormat="false" ht="16.5" hidden="false" customHeight="true" outlineLevel="0" collapsed="false">
      <c r="A3" s="3"/>
      <c r="B3" s="4"/>
      <c r="C3" s="4"/>
      <c r="D3" s="5" t="s">
        <v>0</v>
      </c>
      <c r="E3" s="5"/>
      <c r="F3" s="5"/>
      <c r="G3" s="5"/>
      <c r="H3" s="6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customFormat="false" ht="12.75" hidden="false" customHeight="true" outlineLevel="0" collapsed="false">
      <c r="A4" s="3"/>
      <c r="B4" s="4"/>
      <c r="C4" s="4"/>
      <c r="D4" s="7" t="s">
        <v>1</v>
      </c>
      <c r="E4" s="7"/>
      <c r="F4" s="7"/>
      <c r="G4" s="7"/>
      <c r="H4" s="2"/>
      <c r="I4" s="2"/>
      <c r="J4" s="2"/>
      <c r="K4" s="2"/>
      <c r="L4" s="8" t="s">
        <v>2</v>
      </c>
      <c r="M4" s="9" t="n">
        <v>0.2602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customFormat="false" ht="12.75" hidden="false" customHeight="true" outlineLevel="0" collapsed="false">
      <c r="A5" s="3"/>
      <c r="B5" s="4"/>
      <c r="C5" s="4"/>
      <c r="D5" s="5" t="s">
        <v>3</v>
      </c>
      <c r="E5" s="5"/>
      <c r="F5" s="5"/>
      <c r="G5" s="5"/>
      <c r="H5" s="2"/>
      <c r="I5" s="2"/>
      <c r="J5" s="2"/>
      <c r="K5" s="2"/>
      <c r="L5" s="10"/>
      <c r="M5" s="10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customFormat="false" ht="15" hidden="false" customHeight="true" outlineLevel="0" collapsed="false">
      <c r="A6" s="3"/>
      <c r="B6" s="4"/>
      <c r="C6" s="4"/>
      <c r="D6" s="11" t="s">
        <v>4</v>
      </c>
      <c r="E6" s="11"/>
      <c r="F6" s="11"/>
      <c r="G6" s="11"/>
      <c r="H6" s="12"/>
      <c r="I6" s="12"/>
      <c r="J6" s="12"/>
      <c r="K6" s="12"/>
      <c r="L6" s="13" t="s">
        <v>5</v>
      </c>
      <c r="M6" s="14" t="n">
        <f aca="false">M7/(1+M4)</f>
        <v>234843.46135534</v>
      </c>
      <c r="N6" s="15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customFormat="false" ht="13.5" hidden="false" customHeight="true" outlineLevel="0" collapsed="false">
      <c r="A7" s="3"/>
      <c r="B7" s="4"/>
      <c r="C7" s="4"/>
      <c r="D7" s="7" t="s">
        <v>6</v>
      </c>
      <c r="E7" s="7"/>
      <c r="F7" s="7"/>
      <c r="G7" s="7"/>
      <c r="H7" s="12"/>
      <c r="I7" s="12"/>
      <c r="J7" s="12"/>
      <c r="K7" s="12"/>
      <c r="L7" s="13" t="s">
        <v>7</v>
      </c>
      <c r="M7" s="14" t="n">
        <f aca="false">N7</f>
        <v>295949.73</v>
      </c>
      <c r="N7" s="16" t="n">
        <f aca="false">SUM(N13:N368)</f>
        <v>295949.73</v>
      </c>
      <c r="O7" s="2"/>
      <c r="P7" s="1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customFormat="false" ht="13.5" hidden="false" customHeight="true" outlineLevel="0" collapsed="false">
      <c r="A8" s="3"/>
      <c r="B8" s="4"/>
      <c r="C8" s="4"/>
      <c r="D8" s="17" t="s">
        <v>8</v>
      </c>
      <c r="E8" s="17"/>
      <c r="F8" s="17"/>
      <c r="G8" s="17"/>
      <c r="H8" s="2"/>
      <c r="I8" s="12"/>
      <c r="J8" s="2"/>
      <c r="K8" s="2"/>
      <c r="L8" s="2"/>
      <c r="M8" s="18"/>
      <c r="N8" s="16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customFormat="false" ht="15" hidden="false" customHeight="true" outlineLevel="0" collapsed="false">
      <c r="A9" s="3"/>
      <c r="B9" s="4"/>
      <c r="C9" s="4"/>
      <c r="D9" s="19" t="s">
        <v>9</v>
      </c>
      <c r="E9" s="19"/>
      <c r="F9" s="19"/>
      <c r="G9" s="19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</row>
    <row r="10" customFormat="false" ht="12.75" hidden="false" customHeight="true" outlineLevel="0" collapsed="false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</row>
    <row r="11" customFormat="false" ht="15" hidden="false" customHeight="true" outlineLevel="0" collapsed="false">
      <c r="A11" s="20" t="s">
        <v>10</v>
      </c>
      <c r="B11" s="20" t="s">
        <v>11</v>
      </c>
      <c r="C11" s="21" t="s">
        <v>12</v>
      </c>
      <c r="D11" s="22" t="s">
        <v>13</v>
      </c>
      <c r="E11" s="23" t="s">
        <v>14</v>
      </c>
      <c r="F11" s="24" t="s">
        <v>15</v>
      </c>
      <c r="G11" s="23" t="s">
        <v>16</v>
      </c>
      <c r="H11" s="23"/>
      <c r="I11" s="23"/>
      <c r="J11" s="23" t="s">
        <v>17</v>
      </c>
      <c r="K11" s="23"/>
      <c r="L11" s="23"/>
      <c r="M11" s="25" t="s">
        <v>18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customFormat="false" ht="12.75" hidden="false" customHeight="true" outlineLevel="0" collapsed="false">
      <c r="A12" s="20"/>
      <c r="B12" s="20"/>
      <c r="C12" s="20"/>
      <c r="D12" s="20"/>
      <c r="E12" s="20"/>
      <c r="F12" s="20"/>
      <c r="G12" s="23" t="s">
        <v>19</v>
      </c>
      <c r="H12" s="23" t="s">
        <v>20</v>
      </c>
      <c r="I12" s="23" t="s">
        <v>21</v>
      </c>
      <c r="J12" s="23" t="s">
        <v>22</v>
      </c>
      <c r="K12" s="23" t="s">
        <v>20</v>
      </c>
      <c r="L12" s="23" t="s">
        <v>21</v>
      </c>
      <c r="M12" s="25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customFormat="false" ht="15" hidden="false" customHeight="false" outlineLevel="0" collapsed="false">
      <c r="A13" s="26" t="s">
        <v>23</v>
      </c>
      <c r="B13" s="27" t="s">
        <v>24</v>
      </c>
      <c r="C13" s="27"/>
      <c r="D13" s="28"/>
      <c r="E13" s="29"/>
      <c r="F13" s="30"/>
      <c r="G13" s="31"/>
      <c r="H13" s="31"/>
      <c r="I13" s="31"/>
      <c r="J13" s="31" t="n">
        <f aca="false">SUM(J14:J20)</f>
        <v>2321.4423</v>
      </c>
      <c r="K13" s="31" t="n">
        <f aca="false">SUM(K14:K20)</f>
        <v>1362.7399</v>
      </c>
      <c r="L13" s="31" t="n">
        <f aca="false">SUM(L14:L20)</f>
        <v>3684.1822</v>
      </c>
      <c r="M13" s="31" t="n">
        <f aca="false">SUM(M14:M20)</f>
        <v>4642.8</v>
      </c>
      <c r="N13" s="32" t="n">
        <f aca="false">M13</f>
        <v>4642.8</v>
      </c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</row>
    <row r="14" customFormat="false" ht="15" hidden="false" customHeight="false" outlineLevel="0" collapsed="false">
      <c r="A14" s="34" t="s">
        <v>25</v>
      </c>
      <c r="B14" s="35" t="s">
        <v>26</v>
      </c>
      <c r="C14" s="36" t="s">
        <v>27</v>
      </c>
      <c r="D14" s="37" t="s">
        <v>28</v>
      </c>
      <c r="E14" s="38" t="s">
        <v>29</v>
      </c>
      <c r="F14" s="39" t="n">
        <f aca="false">ROUND(84.9*0.25,2)</f>
        <v>21.23</v>
      </c>
      <c r="G14" s="40" t="n">
        <v>49.57</v>
      </c>
      <c r="H14" s="40" t="n">
        <v>7.57</v>
      </c>
      <c r="I14" s="40" t="n">
        <f aca="false">SUM(G14:H14)</f>
        <v>57.14</v>
      </c>
      <c r="J14" s="40" t="n">
        <f aca="false">G14*F14</f>
        <v>1052.3711</v>
      </c>
      <c r="K14" s="40" t="n">
        <f aca="false">H14*F14</f>
        <v>160.7111</v>
      </c>
      <c r="L14" s="40" t="n">
        <f aca="false">I14*F14</f>
        <v>1213.0822</v>
      </c>
      <c r="M14" s="40" t="n">
        <f aca="false">ROUND(L14*(1+$M$4),2)</f>
        <v>1528.73</v>
      </c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</row>
    <row r="15" customFormat="false" ht="15" hidden="false" customHeight="false" outlineLevel="0" collapsed="false">
      <c r="A15" s="34" t="s">
        <v>30</v>
      </c>
      <c r="B15" s="35" t="s">
        <v>31</v>
      </c>
      <c r="C15" s="36" t="s">
        <v>27</v>
      </c>
      <c r="D15" s="37" t="s">
        <v>28</v>
      </c>
      <c r="E15" s="38" t="s">
        <v>32</v>
      </c>
      <c r="F15" s="39" t="n">
        <v>17</v>
      </c>
      <c r="G15" s="40" t="n">
        <v>49.57</v>
      </c>
      <c r="H15" s="40" t="n">
        <v>7.57</v>
      </c>
      <c r="I15" s="40" t="n">
        <f aca="false">G15+H15</f>
        <v>57.14</v>
      </c>
      <c r="J15" s="40" t="n">
        <f aca="false">G15*F15</f>
        <v>842.69</v>
      </c>
      <c r="K15" s="40" t="n">
        <f aca="false">H15*F15</f>
        <v>128.69</v>
      </c>
      <c r="L15" s="40" t="n">
        <f aca="false">J15+K15</f>
        <v>971.38</v>
      </c>
      <c r="M15" s="40" t="n">
        <f aca="false">ROUND(L15*(1+$M$4),2)</f>
        <v>1224.13</v>
      </c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</row>
    <row r="16" customFormat="false" ht="15" hidden="false" customHeight="false" outlineLevel="0" collapsed="false">
      <c r="A16" s="34" t="s">
        <v>33</v>
      </c>
      <c r="B16" s="35" t="s">
        <v>34</v>
      </c>
      <c r="C16" s="36" t="s">
        <v>35</v>
      </c>
      <c r="D16" s="37" t="s">
        <v>36</v>
      </c>
      <c r="E16" s="38" t="s">
        <v>37</v>
      </c>
      <c r="F16" s="39" t="n">
        <v>130</v>
      </c>
      <c r="G16" s="40" t="n">
        <v>0.89</v>
      </c>
      <c r="H16" s="40" t="n">
        <v>2.39</v>
      </c>
      <c r="I16" s="40" t="n">
        <f aca="false">G16+H16</f>
        <v>3.28</v>
      </c>
      <c r="J16" s="40" t="n">
        <f aca="false">G16*F16</f>
        <v>115.7</v>
      </c>
      <c r="K16" s="40" t="n">
        <f aca="false">H16*F16</f>
        <v>310.7</v>
      </c>
      <c r="L16" s="40" t="n">
        <f aca="false">J16+K16</f>
        <v>426.4</v>
      </c>
      <c r="M16" s="40" t="n">
        <f aca="false">ROUND(L16*(1+$M$4),2)</f>
        <v>537.35</v>
      </c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</row>
    <row r="17" customFormat="false" ht="15" hidden="false" customHeight="false" outlineLevel="0" collapsed="false">
      <c r="A17" s="34" t="s">
        <v>38</v>
      </c>
      <c r="B17" s="35" t="s">
        <v>39</v>
      </c>
      <c r="C17" s="36" t="s">
        <v>40</v>
      </c>
      <c r="D17" s="37" t="s">
        <v>41</v>
      </c>
      <c r="E17" s="38" t="s">
        <v>37</v>
      </c>
      <c r="F17" s="39" t="n">
        <v>2.78</v>
      </c>
      <c r="G17" s="40" t="n">
        <v>15.97</v>
      </c>
      <c r="H17" s="40" t="n">
        <v>18.3</v>
      </c>
      <c r="I17" s="40" t="n">
        <f aca="false">G17+H17</f>
        <v>34.27</v>
      </c>
      <c r="J17" s="40" t="n">
        <f aca="false">G17*F17</f>
        <v>44.3966</v>
      </c>
      <c r="K17" s="40" t="n">
        <f aca="false">H17*F17</f>
        <v>50.874</v>
      </c>
      <c r="L17" s="40" t="n">
        <f aca="false">J17+K17</f>
        <v>95.2706</v>
      </c>
      <c r="M17" s="40" t="n">
        <f aca="false">ROUND(L17*(1+$M$4),2)</f>
        <v>120.06</v>
      </c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</row>
    <row r="18" customFormat="false" ht="15" hidden="false" customHeight="false" outlineLevel="0" collapsed="false">
      <c r="A18" s="34" t="s">
        <v>42</v>
      </c>
      <c r="B18" s="35" t="s">
        <v>43</v>
      </c>
      <c r="C18" s="36" t="s">
        <v>44</v>
      </c>
      <c r="D18" s="37" t="s">
        <v>45</v>
      </c>
      <c r="E18" s="38" t="s">
        <v>37</v>
      </c>
      <c r="F18" s="39" t="n">
        <v>5.46</v>
      </c>
      <c r="G18" s="40" t="n">
        <v>2.51</v>
      </c>
      <c r="H18" s="40" t="n">
        <v>6.63</v>
      </c>
      <c r="I18" s="40" t="n">
        <f aca="false">G18+H18</f>
        <v>9.14</v>
      </c>
      <c r="J18" s="40" t="n">
        <f aca="false">G18*F18</f>
        <v>13.7046</v>
      </c>
      <c r="K18" s="40" t="n">
        <f aca="false">H18*F18</f>
        <v>36.1998</v>
      </c>
      <c r="L18" s="40" t="n">
        <f aca="false">J18+K18</f>
        <v>49.9044</v>
      </c>
      <c r="M18" s="40" t="n">
        <f aca="false">ROUND(L18*(1+$M$4),2)</f>
        <v>62.89</v>
      </c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</row>
    <row r="19" customFormat="false" ht="15" hidden="false" customHeight="false" outlineLevel="0" collapsed="false">
      <c r="A19" s="34" t="s">
        <v>46</v>
      </c>
      <c r="B19" s="35" t="s">
        <v>47</v>
      </c>
      <c r="C19" s="36" t="s">
        <v>48</v>
      </c>
      <c r="D19" s="37" t="s">
        <v>49</v>
      </c>
      <c r="E19" s="38" t="s">
        <v>37</v>
      </c>
      <c r="F19" s="39" t="n">
        <v>86.5</v>
      </c>
      <c r="G19" s="40" t="n">
        <v>2</v>
      </c>
      <c r="H19" s="40" t="n">
        <v>5.33</v>
      </c>
      <c r="I19" s="40" t="n">
        <f aca="false">G19+H19</f>
        <v>7.33</v>
      </c>
      <c r="J19" s="40" t="n">
        <f aca="false">G19*F19</f>
        <v>173</v>
      </c>
      <c r="K19" s="40" t="n">
        <f aca="false">H19*F19</f>
        <v>461.045</v>
      </c>
      <c r="L19" s="40" t="n">
        <f aca="false">J19+K19</f>
        <v>634.045</v>
      </c>
      <c r="M19" s="40" t="n">
        <f aca="false">ROUND(L19*(1+$M$4),2)</f>
        <v>799.02</v>
      </c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</row>
    <row r="20" customFormat="false" ht="15" hidden="false" customHeight="false" outlineLevel="0" collapsed="false">
      <c r="A20" s="34" t="s">
        <v>50</v>
      </c>
      <c r="B20" s="35" t="s">
        <v>51</v>
      </c>
      <c r="C20" s="36" t="s">
        <v>52</v>
      </c>
      <c r="D20" s="37" t="s">
        <v>53</v>
      </c>
      <c r="E20" s="38" t="s">
        <v>37</v>
      </c>
      <c r="F20" s="39" t="n">
        <v>86.5</v>
      </c>
      <c r="G20" s="40" t="n">
        <v>0.92</v>
      </c>
      <c r="H20" s="40" t="n">
        <v>2.48</v>
      </c>
      <c r="I20" s="40" t="n">
        <f aca="false">G20+H20</f>
        <v>3.4</v>
      </c>
      <c r="J20" s="40" t="n">
        <f aca="false">G20*F20</f>
        <v>79.58</v>
      </c>
      <c r="K20" s="40" t="n">
        <f aca="false">H20*F20</f>
        <v>214.52</v>
      </c>
      <c r="L20" s="40" t="n">
        <f aca="false">J20+K20</f>
        <v>294.1</v>
      </c>
      <c r="M20" s="40" t="n">
        <f aca="false">ROUND(L20*(1+$M$4),2)</f>
        <v>370.62</v>
      </c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</row>
    <row r="21" customFormat="false" ht="15" hidden="false" customHeight="true" outlineLevel="0" collapsed="false">
      <c r="A21" s="26" t="s">
        <v>54</v>
      </c>
      <c r="B21" s="27" t="s">
        <v>55</v>
      </c>
      <c r="C21" s="27"/>
      <c r="D21" s="28"/>
      <c r="E21" s="29"/>
      <c r="F21" s="30"/>
      <c r="G21" s="31"/>
      <c r="H21" s="31"/>
      <c r="I21" s="31"/>
      <c r="J21" s="31" t="n">
        <f aca="false">SUM(J22:J36)</f>
        <v>9337.8594</v>
      </c>
      <c r="K21" s="31" t="n">
        <f aca="false">SUM(K22:K36)</f>
        <v>5041.995</v>
      </c>
      <c r="L21" s="31" t="n">
        <f aca="false">SUM(L22:L36)</f>
        <v>14379.8544</v>
      </c>
      <c r="M21" s="31" t="n">
        <f aca="false">SUM(M22:M36)</f>
        <v>18121.5</v>
      </c>
      <c r="N21" s="32" t="n">
        <f aca="false">M21</f>
        <v>18121.5</v>
      </c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</row>
    <row r="22" customFormat="false" ht="15" hidden="false" customHeight="false" outlineLevel="0" collapsed="false">
      <c r="A22" s="34" t="s">
        <v>56</v>
      </c>
      <c r="B22" s="35" t="s">
        <v>57</v>
      </c>
      <c r="C22" s="36" t="s">
        <v>58</v>
      </c>
      <c r="D22" s="37" t="s">
        <v>59</v>
      </c>
      <c r="E22" s="38" t="s">
        <v>37</v>
      </c>
      <c r="F22" s="39" t="n">
        <v>6.85</v>
      </c>
      <c r="G22" s="40" t="n">
        <v>75.42</v>
      </c>
      <c r="H22" s="40" t="n">
        <v>67.29</v>
      </c>
      <c r="I22" s="40" t="n">
        <f aca="false">SUM(G22:H22)</f>
        <v>142.71</v>
      </c>
      <c r="J22" s="40" t="n">
        <f aca="false">G22*F22</f>
        <v>516.627</v>
      </c>
      <c r="K22" s="40" t="n">
        <f aca="false">H22*F22</f>
        <v>460.9365</v>
      </c>
      <c r="L22" s="40" t="n">
        <f aca="false">I22*F22</f>
        <v>977.5635</v>
      </c>
      <c r="M22" s="40" t="n">
        <f aca="false">ROUND(L22*(1+$M$4),2)</f>
        <v>1231.93</v>
      </c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</row>
    <row r="23" customFormat="false" ht="15" hidden="false" customHeight="false" outlineLevel="0" collapsed="false">
      <c r="A23" s="34" t="s">
        <v>60</v>
      </c>
      <c r="B23" s="35" t="s">
        <v>61</v>
      </c>
      <c r="C23" s="36" t="s">
        <v>62</v>
      </c>
      <c r="D23" s="37" t="s">
        <v>63</v>
      </c>
      <c r="E23" s="38" t="s">
        <v>37</v>
      </c>
      <c r="F23" s="39" t="n">
        <v>15</v>
      </c>
      <c r="G23" s="40" t="n">
        <v>2.11</v>
      </c>
      <c r="H23" s="40" t="n">
        <v>1.87</v>
      </c>
      <c r="I23" s="40" t="n">
        <f aca="false">SUM(G23:H23)</f>
        <v>3.98</v>
      </c>
      <c r="J23" s="40" t="n">
        <f aca="false">G23*F23</f>
        <v>31.65</v>
      </c>
      <c r="K23" s="40" t="n">
        <f aca="false">H23*F23</f>
        <v>28.05</v>
      </c>
      <c r="L23" s="40" t="n">
        <f aca="false">I23*F23</f>
        <v>59.7</v>
      </c>
      <c r="M23" s="40" t="n">
        <f aca="false">ROUND(L23*(1+$M$4),2)</f>
        <v>75.23</v>
      </c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</row>
    <row r="24" customFormat="false" ht="15" hidden="false" customHeight="false" outlineLevel="0" collapsed="false">
      <c r="A24" s="34" t="s">
        <v>64</v>
      </c>
      <c r="B24" s="35" t="s">
        <v>65</v>
      </c>
      <c r="C24" s="36" t="s">
        <v>66</v>
      </c>
      <c r="D24" s="37" t="s">
        <v>67</v>
      </c>
      <c r="E24" s="38" t="s">
        <v>37</v>
      </c>
      <c r="F24" s="39" t="n">
        <v>15</v>
      </c>
      <c r="G24" s="40" t="n">
        <v>18.08</v>
      </c>
      <c r="H24" s="40" t="n">
        <v>15</v>
      </c>
      <c r="I24" s="40" t="n">
        <f aca="false">SUM(G24:H24)</f>
        <v>33.08</v>
      </c>
      <c r="J24" s="40" t="n">
        <f aca="false">G24*F24</f>
        <v>271.2</v>
      </c>
      <c r="K24" s="40" t="n">
        <f aca="false">H24*F24</f>
        <v>225</v>
      </c>
      <c r="L24" s="40" t="n">
        <f aca="false">I24*F24</f>
        <v>496.2</v>
      </c>
      <c r="M24" s="40" t="n">
        <f aca="false">ROUND(L24*(1+$M$4),2)</f>
        <v>625.31</v>
      </c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</row>
    <row r="25" customFormat="false" ht="15" hidden="false" customHeight="false" outlineLevel="0" collapsed="false">
      <c r="A25" s="34" t="s">
        <v>68</v>
      </c>
      <c r="B25" s="35" t="s">
        <v>69</v>
      </c>
      <c r="C25" s="36" t="s">
        <v>70</v>
      </c>
      <c r="D25" s="37" t="s">
        <v>71</v>
      </c>
      <c r="E25" s="38" t="s">
        <v>37</v>
      </c>
      <c r="F25" s="39" t="n">
        <f aca="false">130.2*2</f>
        <v>260.4</v>
      </c>
      <c r="G25" s="40" t="n">
        <v>0.65</v>
      </c>
      <c r="H25" s="40" t="n">
        <f aca="false">I25-G25</f>
        <v>2.28</v>
      </c>
      <c r="I25" s="40" t="n">
        <v>2.93</v>
      </c>
      <c r="J25" s="40" t="n">
        <f aca="false">G25*F25</f>
        <v>169.26</v>
      </c>
      <c r="K25" s="40" t="n">
        <f aca="false">H25*F25</f>
        <v>593.712</v>
      </c>
      <c r="L25" s="40" t="n">
        <f aca="false">I25*F25</f>
        <v>762.972</v>
      </c>
      <c r="M25" s="40" t="n">
        <f aca="false">ROUND(L25*(1+$M$4),2)</f>
        <v>961.5</v>
      </c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</row>
    <row r="26" customFormat="false" ht="15" hidden="false" customHeight="false" outlineLevel="0" collapsed="false">
      <c r="A26" s="34" t="s">
        <v>72</v>
      </c>
      <c r="B26" s="35" t="s">
        <v>73</v>
      </c>
      <c r="C26" s="36" t="s">
        <v>74</v>
      </c>
      <c r="D26" s="37" t="s">
        <v>75</v>
      </c>
      <c r="E26" s="38" t="s">
        <v>37</v>
      </c>
      <c r="F26" s="39" t="n">
        <f aca="false">F25</f>
        <v>260.4</v>
      </c>
      <c r="G26" s="40" t="n">
        <v>1.91</v>
      </c>
      <c r="H26" s="40" t="n">
        <v>0.6</v>
      </c>
      <c r="I26" s="40" t="n">
        <f aca="false">SUM(G26:H26)</f>
        <v>2.51</v>
      </c>
      <c r="J26" s="40" t="n">
        <f aca="false">G26*F26</f>
        <v>497.364</v>
      </c>
      <c r="K26" s="40" t="n">
        <f aca="false">H26*F26</f>
        <v>156.24</v>
      </c>
      <c r="L26" s="40" t="n">
        <f aca="false">I26*F26</f>
        <v>653.604</v>
      </c>
      <c r="M26" s="40" t="n">
        <f aca="false">ROUND(L26*(1+$M$4),2)</f>
        <v>823.67</v>
      </c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</row>
    <row r="27" customFormat="false" ht="15" hidden="false" customHeight="false" outlineLevel="0" collapsed="false">
      <c r="A27" s="34" t="s">
        <v>76</v>
      </c>
      <c r="B27" s="35" t="s">
        <v>77</v>
      </c>
      <c r="C27" s="36" t="s">
        <v>78</v>
      </c>
      <c r="D27" s="37" t="s">
        <v>79</v>
      </c>
      <c r="E27" s="38" t="s">
        <v>37</v>
      </c>
      <c r="F27" s="39" t="n">
        <f aca="false">F26</f>
        <v>260.4</v>
      </c>
      <c r="G27" s="40" t="n">
        <v>10.56</v>
      </c>
      <c r="H27" s="40" t="n">
        <v>4.93</v>
      </c>
      <c r="I27" s="40" t="n">
        <f aca="false">SUM(G27:H27)</f>
        <v>15.49</v>
      </c>
      <c r="J27" s="40" t="n">
        <f aca="false">G27*F27</f>
        <v>2749.824</v>
      </c>
      <c r="K27" s="40" t="n">
        <f aca="false">H27*F27</f>
        <v>1283.772</v>
      </c>
      <c r="L27" s="40" t="n">
        <f aca="false">I27*F27</f>
        <v>4033.596</v>
      </c>
      <c r="M27" s="40" t="n">
        <f aca="false">ROUND(L27*(1+$M$4),2)</f>
        <v>5083.14</v>
      </c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</row>
    <row r="28" customFormat="false" ht="15" hidden="false" customHeight="false" outlineLevel="0" collapsed="false">
      <c r="A28" s="34" t="s">
        <v>80</v>
      </c>
      <c r="B28" s="35" t="s">
        <v>81</v>
      </c>
      <c r="C28" s="36" t="s">
        <v>82</v>
      </c>
      <c r="D28" s="37" t="s">
        <v>83</v>
      </c>
      <c r="E28" s="38" t="s">
        <v>84</v>
      </c>
      <c r="F28" s="39" t="n">
        <f aca="false">1.7*2</f>
        <v>3.4</v>
      </c>
      <c r="G28" s="40" t="n">
        <v>3.78</v>
      </c>
      <c r="H28" s="40" t="n">
        <v>6.26</v>
      </c>
      <c r="I28" s="40" t="n">
        <f aca="false">G28+H28</f>
        <v>10.04</v>
      </c>
      <c r="J28" s="40" t="n">
        <f aca="false">G28*F28</f>
        <v>12.852</v>
      </c>
      <c r="K28" s="40" t="n">
        <f aca="false">H28*F28</f>
        <v>21.284</v>
      </c>
      <c r="L28" s="40" t="n">
        <f aca="false">J28+K28</f>
        <v>34.136</v>
      </c>
      <c r="M28" s="40" t="n">
        <f aca="false">ROUND(L28*(1+$M$4),2)</f>
        <v>43.02</v>
      </c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</row>
    <row r="29" customFormat="false" ht="15" hidden="false" customHeight="false" outlineLevel="0" collapsed="false">
      <c r="A29" s="34" t="s">
        <v>85</v>
      </c>
      <c r="B29" s="35" t="s">
        <v>86</v>
      </c>
      <c r="C29" s="36" t="s">
        <v>87</v>
      </c>
      <c r="D29" s="37" t="s">
        <v>88</v>
      </c>
      <c r="E29" s="38" t="s">
        <v>84</v>
      </c>
      <c r="F29" s="39" t="n">
        <f aca="false">F28</f>
        <v>3.4</v>
      </c>
      <c r="G29" s="40" t="n">
        <v>8.97</v>
      </c>
      <c r="H29" s="40" t="n">
        <v>12.7</v>
      </c>
      <c r="I29" s="40" t="n">
        <f aca="false">G29+H29</f>
        <v>21.67</v>
      </c>
      <c r="J29" s="40" t="n">
        <f aca="false">G29*F29</f>
        <v>30.498</v>
      </c>
      <c r="K29" s="40" t="n">
        <f aca="false">H29*F29</f>
        <v>43.18</v>
      </c>
      <c r="L29" s="40" t="n">
        <f aca="false">J29+K29</f>
        <v>73.678</v>
      </c>
      <c r="M29" s="40" t="n">
        <f aca="false">ROUND(L29*(1+$M$4),2)</f>
        <v>92.85</v>
      </c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</row>
    <row r="30" customFormat="false" ht="15" hidden="false" customHeight="false" outlineLevel="0" collapsed="false">
      <c r="A30" s="34" t="s">
        <v>89</v>
      </c>
      <c r="B30" s="35" t="s">
        <v>90</v>
      </c>
      <c r="C30" s="36" t="s">
        <v>91</v>
      </c>
      <c r="D30" s="37" t="s">
        <v>92</v>
      </c>
      <c r="E30" s="38" t="s">
        <v>93</v>
      </c>
      <c r="F30" s="39" t="n">
        <v>1</v>
      </c>
      <c r="G30" s="40" t="n">
        <v>82.61</v>
      </c>
      <c r="H30" s="40" t="n">
        <v>27.16</v>
      </c>
      <c r="I30" s="40" t="n">
        <f aca="false">G30+H30</f>
        <v>109.77</v>
      </c>
      <c r="J30" s="40" t="n">
        <f aca="false">G30*F30</f>
        <v>82.61</v>
      </c>
      <c r="K30" s="40" t="n">
        <f aca="false">H30*F30</f>
        <v>27.16</v>
      </c>
      <c r="L30" s="40" t="n">
        <f aca="false">J30+K30</f>
        <v>109.77</v>
      </c>
      <c r="M30" s="40" t="n">
        <f aca="false">ROUND(L30*(1+$M$4),2)</f>
        <v>138.33</v>
      </c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</row>
    <row r="31" customFormat="false" ht="15" hidden="false" customHeight="false" outlineLevel="0" collapsed="false">
      <c r="A31" s="34" t="s">
        <v>94</v>
      </c>
      <c r="B31" s="35" t="s">
        <v>95</v>
      </c>
      <c r="C31" s="36" t="s">
        <v>70</v>
      </c>
      <c r="D31" s="37" t="s">
        <v>71</v>
      </c>
      <c r="E31" s="38" t="s">
        <v>37</v>
      </c>
      <c r="F31" s="39" t="n">
        <f aca="false">(126.33+44.63)+64</f>
        <v>234.96</v>
      </c>
      <c r="G31" s="40" t="n">
        <v>0.65</v>
      </c>
      <c r="H31" s="40" t="n">
        <f aca="false">I31-G31</f>
        <v>2.28</v>
      </c>
      <c r="I31" s="40" t="n">
        <v>2.93</v>
      </c>
      <c r="J31" s="40" t="n">
        <f aca="false">G31*F31</f>
        <v>152.724</v>
      </c>
      <c r="K31" s="40" t="n">
        <f aca="false">H31*F31</f>
        <v>535.7088</v>
      </c>
      <c r="L31" s="40" t="n">
        <f aca="false">I31*F31</f>
        <v>688.4328</v>
      </c>
      <c r="M31" s="40" t="n">
        <f aca="false">ROUND(L31*(1+$M$4),2)</f>
        <v>867.56</v>
      </c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</row>
    <row r="32" customFormat="false" ht="15" hidden="false" customHeight="false" outlineLevel="0" collapsed="false">
      <c r="A32" s="34" t="s">
        <v>96</v>
      </c>
      <c r="B32" s="35" t="s">
        <v>95</v>
      </c>
      <c r="C32" s="36" t="s">
        <v>74</v>
      </c>
      <c r="D32" s="37" t="s">
        <v>75</v>
      </c>
      <c r="E32" s="38" t="s">
        <v>37</v>
      </c>
      <c r="F32" s="39" t="n">
        <f aca="false">(126.33+44.63)+64</f>
        <v>234.96</v>
      </c>
      <c r="G32" s="40" t="n">
        <v>1.91</v>
      </c>
      <c r="H32" s="40" t="n">
        <v>0.6</v>
      </c>
      <c r="I32" s="40" t="n">
        <f aca="false">SUM(G32:H32)</f>
        <v>2.51</v>
      </c>
      <c r="J32" s="40" t="n">
        <f aca="false">G32*F32</f>
        <v>448.7736</v>
      </c>
      <c r="K32" s="40" t="n">
        <f aca="false">H32*F32</f>
        <v>140.976</v>
      </c>
      <c r="L32" s="40" t="n">
        <f aca="false">I32*F32</f>
        <v>589.7496</v>
      </c>
      <c r="M32" s="40" t="n">
        <f aca="false">ROUND(L32*(1+$M$4),2)</f>
        <v>743.2</v>
      </c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</row>
    <row r="33" customFormat="false" ht="15" hidden="false" customHeight="false" outlineLevel="0" collapsed="false">
      <c r="A33" s="34" t="s">
        <v>97</v>
      </c>
      <c r="B33" s="35" t="s">
        <v>95</v>
      </c>
      <c r="C33" s="36" t="s">
        <v>78</v>
      </c>
      <c r="D33" s="37" t="s">
        <v>79</v>
      </c>
      <c r="E33" s="38" t="s">
        <v>37</v>
      </c>
      <c r="F33" s="39" t="n">
        <f aca="false">(126.33+44.63)+64</f>
        <v>234.96</v>
      </c>
      <c r="G33" s="40" t="n">
        <v>10.56</v>
      </c>
      <c r="H33" s="40" t="n">
        <v>4.93</v>
      </c>
      <c r="I33" s="40" t="n">
        <f aca="false">SUM(G33:H33)</f>
        <v>15.49</v>
      </c>
      <c r="J33" s="40" t="n">
        <f aca="false">G33*F33</f>
        <v>2481.1776</v>
      </c>
      <c r="K33" s="40" t="n">
        <f aca="false">H33*F33</f>
        <v>1158.3528</v>
      </c>
      <c r="L33" s="40" t="n">
        <f aca="false">I33*F33</f>
        <v>3639.5304</v>
      </c>
      <c r="M33" s="40" t="n">
        <f aca="false">ROUND(L33*(1+$M$4),2)</f>
        <v>4586.54</v>
      </c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</row>
    <row r="34" customFormat="false" ht="15" hidden="false" customHeight="false" outlineLevel="0" collapsed="false">
      <c r="A34" s="34" t="s">
        <v>98</v>
      </c>
      <c r="B34" s="35" t="s">
        <v>99</v>
      </c>
      <c r="C34" s="36" t="s">
        <v>100</v>
      </c>
      <c r="D34" s="37" t="s">
        <v>101</v>
      </c>
      <c r="E34" s="38" t="s">
        <v>37</v>
      </c>
      <c r="F34" s="39" t="n">
        <f aca="false">(0.9*2.1)</f>
        <v>1.89</v>
      </c>
      <c r="G34" s="40" t="n">
        <v>434.68</v>
      </c>
      <c r="H34" s="40" t="n">
        <v>58.06</v>
      </c>
      <c r="I34" s="40" t="n">
        <f aca="false">SUM(G34:H34)</f>
        <v>492.74</v>
      </c>
      <c r="J34" s="40" t="n">
        <f aca="false">G34*F34</f>
        <v>821.5452</v>
      </c>
      <c r="K34" s="40" t="n">
        <f aca="false">H34*F34</f>
        <v>109.7334</v>
      </c>
      <c r="L34" s="40" t="n">
        <f aca="false">I34*F34</f>
        <v>931.2786</v>
      </c>
      <c r="M34" s="40" t="n">
        <f aca="false">ROUND(L34*(1+$M$4),2)</f>
        <v>1173.6</v>
      </c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</row>
    <row r="35" customFormat="false" ht="15" hidden="false" customHeight="false" outlineLevel="0" collapsed="false">
      <c r="A35" s="34" t="s">
        <v>102</v>
      </c>
      <c r="B35" s="35" t="s">
        <v>103</v>
      </c>
      <c r="C35" s="36" t="s">
        <v>104</v>
      </c>
      <c r="D35" s="37" t="s">
        <v>105</v>
      </c>
      <c r="E35" s="38" t="s">
        <v>32</v>
      </c>
      <c r="F35" s="39" t="n">
        <v>6.5</v>
      </c>
      <c r="G35" s="40" t="n">
        <v>53.72</v>
      </c>
      <c r="H35" s="40" t="n">
        <v>21.01</v>
      </c>
      <c r="I35" s="40" t="n">
        <f aca="false">SUM(G35:H35)</f>
        <v>74.73</v>
      </c>
      <c r="J35" s="40" t="n">
        <f aca="false">G35*F35</f>
        <v>349.18</v>
      </c>
      <c r="K35" s="40" t="n">
        <f aca="false">H35*F35</f>
        <v>136.565</v>
      </c>
      <c r="L35" s="40" t="n">
        <f aca="false">I35*F35</f>
        <v>485.745</v>
      </c>
      <c r="M35" s="40" t="n">
        <f aca="false">ROUND(L35*(1+$M$4),2)</f>
        <v>612.14</v>
      </c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</row>
    <row r="36" customFormat="false" ht="15" hidden="false" customHeight="false" outlineLevel="0" collapsed="false">
      <c r="A36" s="34" t="s">
        <v>106</v>
      </c>
      <c r="B36" s="35" t="s">
        <v>107</v>
      </c>
      <c r="C36" s="36" t="s">
        <v>108</v>
      </c>
      <c r="D36" s="37" t="s">
        <v>109</v>
      </c>
      <c r="E36" s="38" t="s">
        <v>29</v>
      </c>
      <c r="F36" s="39" t="n">
        <f aca="false">27*0.05</f>
        <v>1.35</v>
      </c>
      <c r="G36" s="40" t="n">
        <v>535.24</v>
      </c>
      <c r="H36" s="40" t="n">
        <v>89.87</v>
      </c>
      <c r="I36" s="40" t="n">
        <f aca="false">SUM(G36:H36)</f>
        <v>625.11</v>
      </c>
      <c r="J36" s="40" t="n">
        <f aca="false">G36*F36</f>
        <v>722.574</v>
      </c>
      <c r="K36" s="40" t="n">
        <f aca="false">H36*F36</f>
        <v>121.3245</v>
      </c>
      <c r="L36" s="40" t="n">
        <f aca="false">I36*F36</f>
        <v>843.8985</v>
      </c>
      <c r="M36" s="40" t="n">
        <f aca="false">ROUND(L36*(1+$M$4),2)</f>
        <v>1063.48</v>
      </c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</row>
    <row r="37" customFormat="false" ht="15" hidden="false" customHeight="true" outlineLevel="0" collapsed="false">
      <c r="A37" s="26" t="s">
        <v>110</v>
      </c>
      <c r="B37" s="27" t="s">
        <v>111</v>
      </c>
      <c r="C37" s="27"/>
      <c r="D37" s="28"/>
      <c r="E37" s="29"/>
      <c r="F37" s="30"/>
      <c r="G37" s="31"/>
      <c r="H37" s="31"/>
      <c r="I37" s="31"/>
      <c r="J37" s="31" t="n">
        <f aca="false">SUM(J38:J151)</f>
        <v>44005.0476162</v>
      </c>
      <c r="K37" s="31" t="n">
        <f aca="false">SUM(K38:K151)</f>
        <v>16736.3322298</v>
      </c>
      <c r="L37" s="31" t="n">
        <f aca="false">SUM(L38:L151)</f>
        <v>60741.379846</v>
      </c>
      <c r="M37" s="31" t="n">
        <f aca="false">SUM(M38:M151)</f>
        <v>76546.3</v>
      </c>
      <c r="N37" s="32" t="n">
        <f aca="false">M37</f>
        <v>76546.3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</row>
    <row r="38" customFormat="false" ht="15" hidden="false" customHeight="true" outlineLevel="0" collapsed="false">
      <c r="A38" s="43" t="s">
        <v>112</v>
      </c>
      <c r="B38" s="44" t="s">
        <v>113</v>
      </c>
      <c r="C38" s="44"/>
      <c r="D38" s="45"/>
      <c r="E38" s="46"/>
      <c r="F38" s="47"/>
      <c r="G38" s="48"/>
      <c r="H38" s="48"/>
      <c r="I38" s="48"/>
      <c r="J38" s="48"/>
      <c r="K38" s="48"/>
      <c r="L38" s="48"/>
      <c r="M38" s="48"/>
      <c r="N38" s="49" t="n">
        <f aca="false">M38</f>
        <v>0</v>
      </c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</row>
    <row r="39" customFormat="false" ht="15" hidden="false" customHeight="false" outlineLevel="0" collapsed="false">
      <c r="A39" s="34" t="s">
        <v>114</v>
      </c>
      <c r="B39" s="35" t="s">
        <v>115</v>
      </c>
      <c r="C39" s="36" t="s">
        <v>44</v>
      </c>
      <c r="D39" s="37" t="s">
        <v>45</v>
      </c>
      <c r="E39" s="38" t="s">
        <v>84</v>
      </c>
      <c r="F39" s="39" t="n">
        <f aca="false">(0.8*2.1)*2</f>
        <v>3.36</v>
      </c>
      <c r="G39" s="40" t="n">
        <v>9.14</v>
      </c>
      <c r="H39" s="40" t="n">
        <v>6.63</v>
      </c>
      <c r="I39" s="40" t="n">
        <f aca="false">G39+H39</f>
        <v>15.77</v>
      </c>
      <c r="J39" s="40" t="n">
        <f aca="false">G39*F39</f>
        <v>30.7104</v>
      </c>
      <c r="K39" s="40" t="n">
        <f aca="false">H39*F39</f>
        <v>22.2768</v>
      </c>
      <c r="L39" s="40" t="n">
        <f aca="false">J39+K39</f>
        <v>52.9872</v>
      </c>
      <c r="M39" s="40" t="n">
        <f aca="false">ROUND(L39*(1+$M$4),2)</f>
        <v>66.77</v>
      </c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</row>
    <row r="40" customFormat="false" ht="15" hidden="false" customHeight="false" outlineLevel="0" collapsed="false">
      <c r="A40" s="34" t="s">
        <v>116</v>
      </c>
      <c r="B40" s="35" t="s">
        <v>117</v>
      </c>
      <c r="C40" s="36" t="s">
        <v>118</v>
      </c>
      <c r="D40" s="37" t="s">
        <v>119</v>
      </c>
      <c r="E40" s="38" t="s">
        <v>84</v>
      </c>
      <c r="F40" s="39" t="n">
        <v>24</v>
      </c>
      <c r="G40" s="40" t="n">
        <v>6.73</v>
      </c>
      <c r="H40" s="40" t="n">
        <v>17.56</v>
      </c>
      <c r="I40" s="40" t="n">
        <f aca="false">G40+H40</f>
        <v>24.29</v>
      </c>
      <c r="J40" s="40" t="n">
        <f aca="false">G40*F40</f>
        <v>161.52</v>
      </c>
      <c r="K40" s="40" t="n">
        <f aca="false">H40*F40</f>
        <v>421.44</v>
      </c>
      <c r="L40" s="40" t="n">
        <f aca="false">J40+K40</f>
        <v>582.96</v>
      </c>
      <c r="M40" s="40" t="n">
        <f aca="false">ROUND(L40*(1+$M$4),2)</f>
        <v>734.65</v>
      </c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</row>
    <row r="41" customFormat="false" ht="15" hidden="false" customHeight="false" outlineLevel="0" collapsed="false">
      <c r="A41" s="34" t="s">
        <v>120</v>
      </c>
      <c r="B41" s="35" t="s">
        <v>121</v>
      </c>
      <c r="C41" s="36" t="s">
        <v>122</v>
      </c>
      <c r="D41" s="37" t="s">
        <v>123</v>
      </c>
      <c r="E41" s="38" t="s">
        <v>29</v>
      </c>
      <c r="F41" s="39" t="n">
        <f aca="false">5.05*0.15</f>
        <v>0.7575</v>
      </c>
      <c r="G41" s="40" t="n">
        <v>16.61</v>
      </c>
      <c r="H41" s="40" t="n">
        <v>39.29</v>
      </c>
      <c r="I41" s="40" t="n">
        <f aca="false">G41+H41</f>
        <v>55.9</v>
      </c>
      <c r="J41" s="40" t="n">
        <f aca="false">G41*F41</f>
        <v>12.582075</v>
      </c>
      <c r="K41" s="40" t="n">
        <f aca="false">H41*F41</f>
        <v>29.762175</v>
      </c>
      <c r="L41" s="40" t="n">
        <f aca="false">J41+K41</f>
        <v>42.34425</v>
      </c>
      <c r="M41" s="40" t="n">
        <f aca="false">ROUND(L41*(1+$M$4),2)</f>
        <v>53.36</v>
      </c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</row>
    <row r="42" customFormat="false" ht="15" hidden="false" customHeight="false" outlineLevel="0" collapsed="false">
      <c r="A42" s="34" t="s">
        <v>124</v>
      </c>
      <c r="B42" s="35" t="s">
        <v>125</v>
      </c>
      <c r="C42" s="36" t="s">
        <v>126</v>
      </c>
      <c r="D42" s="37" t="s">
        <v>127</v>
      </c>
      <c r="E42" s="38" t="s">
        <v>84</v>
      </c>
      <c r="F42" s="39" t="n">
        <f aca="false">20*0.1</f>
        <v>2</v>
      </c>
      <c r="G42" s="40" t="n">
        <v>0.69</v>
      </c>
      <c r="H42" s="40" t="n">
        <v>1.87</v>
      </c>
      <c r="I42" s="40" t="n">
        <f aca="false">G42+H42</f>
        <v>2.56</v>
      </c>
      <c r="J42" s="40" t="n">
        <f aca="false">G42*F42</f>
        <v>1.38</v>
      </c>
      <c r="K42" s="40" t="n">
        <f aca="false">H42*F42</f>
        <v>3.74</v>
      </c>
      <c r="L42" s="40" t="n">
        <f aca="false">J42+K42</f>
        <v>5.12</v>
      </c>
      <c r="M42" s="40" t="n">
        <f aca="false">ROUND(L42*(1+$M$4),2)</f>
        <v>6.45</v>
      </c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</row>
    <row r="43" customFormat="false" ht="15" hidden="false" customHeight="false" outlineLevel="0" collapsed="false">
      <c r="A43" s="34" t="s">
        <v>128</v>
      </c>
      <c r="B43" s="35" t="s">
        <v>129</v>
      </c>
      <c r="C43" s="36" t="s">
        <v>130</v>
      </c>
      <c r="D43" s="37" t="s">
        <v>131</v>
      </c>
      <c r="E43" s="38" t="s">
        <v>132</v>
      </c>
      <c r="F43" s="39" t="n">
        <v>2.6</v>
      </c>
      <c r="G43" s="40" t="n">
        <v>90.05</v>
      </c>
      <c r="H43" s="40" t="n">
        <v>21.87</v>
      </c>
      <c r="I43" s="40" t="n">
        <f aca="false">G43+H43</f>
        <v>111.92</v>
      </c>
      <c r="J43" s="40" t="n">
        <f aca="false">G43*F43</f>
        <v>234.13</v>
      </c>
      <c r="K43" s="40" t="n">
        <f aca="false">H43*F43</f>
        <v>56.862</v>
      </c>
      <c r="L43" s="40" t="n">
        <f aca="false">J43+K43</f>
        <v>290.992</v>
      </c>
      <c r="M43" s="40" t="n">
        <f aca="false">ROUND(L43*(1+$M$4),2)</f>
        <v>366.71</v>
      </c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</row>
    <row r="44" customFormat="false" ht="15" hidden="false" customHeight="false" outlineLevel="0" collapsed="false">
      <c r="A44" s="34" t="s">
        <v>133</v>
      </c>
      <c r="B44" s="35" t="s">
        <v>57</v>
      </c>
      <c r="C44" s="36" t="s">
        <v>58</v>
      </c>
      <c r="D44" s="37" t="s">
        <v>59</v>
      </c>
      <c r="E44" s="38" t="s">
        <v>37</v>
      </c>
      <c r="F44" s="39" t="n">
        <f aca="false">(0.9*2.1)*2</f>
        <v>3.78</v>
      </c>
      <c r="G44" s="40" t="n">
        <v>75.42</v>
      </c>
      <c r="H44" s="40" t="n">
        <v>67.29</v>
      </c>
      <c r="I44" s="40" t="n">
        <f aca="false">G44+H44</f>
        <v>142.71</v>
      </c>
      <c r="J44" s="40" t="n">
        <f aca="false">G44*F44</f>
        <v>285.0876</v>
      </c>
      <c r="K44" s="40" t="n">
        <f aca="false">H44*F44</f>
        <v>254.3562</v>
      </c>
      <c r="L44" s="40" t="n">
        <f aca="false">J44+K44</f>
        <v>539.4438</v>
      </c>
      <c r="M44" s="40" t="n">
        <f aca="false">ROUND(L44*(1+$M$4),2)</f>
        <v>679.81</v>
      </c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</row>
    <row r="45" customFormat="false" ht="15" hidden="false" customHeight="false" outlineLevel="0" collapsed="false">
      <c r="A45" s="34" t="s">
        <v>134</v>
      </c>
      <c r="B45" s="35" t="s">
        <v>135</v>
      </c>
      <c r="C45" s="36" t="n">
        <v>87879</v>
      </c>
      <c r="D45" s="37" t="s">
        <v>63</v>
      </c>
      <c r="E45" s="38" t="s">
        <v>84</v>
      </c>
      <c r="F45" s="39" t="n">
        <f aca="false">2.45+(F44*2)</f>
        <v>10.01</v>
      </c>
      <c r="G45" s="40" t="n">
        <v>2.11</v>
      </c>
      <c r="H45" s="40" t="n">
        <v>1.87</v>
      </c>
      <c r="I45" s="40" t="n">
        <f aca="false">G45+H45</f>
        <v>3.98</v>
      </c>
      <c r="J45" s="40" t="n">
        <f aca="false">G45*F45</f>
        <v>21.1211</v>
      </c>
      <c r="K45" s="40" t="n">
        <f aca="false">H45*F45</f>
        <v>18.7187</v>
      </c>
      <c r="L45" s="40" t="n">
        <f aca="false">J45+K45</f>
        <v>39.8398</v>
      </c>
      <c r="M45" s="40" t="n">
        <f aca="false">ROUND(L45*(1+$M$4),2)</f>
        <v>50.21</v>
      </c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</row>
    <row r="46" customFormat="false" ht="15" hidden="false" customHeight="false" outlineLevel="0" collapsed="false">
      <c r="A46" s="34" t="s">
        <v>136</v>
      </c>
      <c r="B46" s="35" t="s">
        <v>137</v>
      </c>
      <c r="C46" s="36" t="s">
        <v>66</v>
      </c>
      <c r="D46" s="37" t="s">
        <v>67</v>
      </c>
      <c r="E46" s="38" t="s">
        <v>84</v>
      </c>
      <c r="F46" s="39" t="n">
        <f aca="false">F45</f>
        <v>10.01</v>
      </c>
      <c r="G46" s="40" t="n">
        <v>18.08</v>
      </c>
      <c r="H46" s="40" t="n">
        <v>15</v>
      </c>
      <c r="I46" s="40" t="n">
        <f aca="false">G46+H46</f>
        <v>33.08</v>
      </c>
      <c r="J46" s="40" t="n">
        <f aca="false">G46*F46</f>
        <v>180.9808</v>
      </c>
      <c r="K46" s="40" t="n">
        <f aca="false">H46*F46</f>
        <v>150.15</v>
      </c>
      <c r="L46" s="40" t="n">
        <f aca="false">J46+K46</f>
        <v>331.1308</v>
      </c>
      <c r="M46" s="40" t="n">
        <f aca="false">ROUND(L46*(1+$M$4),2)</f>
        <v>417.29</v>
      </c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</row>
    <row r="47" customFormat="false" ht="15" hidden="false" customHeight="false" outlineLevel="0" collapsed="false">
      <c r="A47" s="34" t="s">
        <v>138</v>
      </c>
      <c r="B47" s="35" t="s">
        <v>139</v>
      </c>
      <c r="C47" s="36" t="s">
        <v>140</v>
      </c>
      <c r="D47" s="37" t="s">
        <v>141</v>
      </c>
      <c r="E47" s="38" t="s">
        <v>29</v>
      </c>
      <c r="F47" s="39" t="n">
        <f aca="false">F40*0.03</f>
        <v>0.72</v>
      </c>
      <c r="G47" s="40" t="n">
        <v>432.73</v>
      </c>
      <c r="H47" s="40" t="n">
        <v>51.91</v>
      </c>
      <c r="I47" s="40" t="n">
        <f aca="false">G47+H47</f>
        <v>484.64</v>
      </c>
      <c r="J47" s="40" t="n">
        <f aca="false">G47*F47</f>
        <v>311.5656</v>
      </c>
      <c r="K47" s="40" t="n">
        <f aca="false">H47*F47</f>
        <v>37.3752</v>
      </c>
      <c r="L47" s="40" t="n">
        <f aca="false">J47+K47</f>
        <v>348.9408</v>
      </c>
      <c r="M47" s="40" t="n">
        <f aca="false">ROUND(L47*(1+$M$4),2)</f>
        <v>439.74</v>
      </c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</row>
    <row r="48" customFormat="false" ht="15" hidden="false" customHeight="false" outlineLevel="0" collapsed="false">
      <c r="A48" s="34" t="s">
        <v>142</v>
      </c>
      <c r="B48" s="35" t="s">
        <v>143</v>
      </c>
      <c r="C48" s="36" t="s">
        <v>144</v>
      </c>
      <c r="D48" s="37" t="s">
        <v>145</v>
      </c>
      <c r="E48" s="38" t="s">
        <v>84</v>
      </c>
      <c r="F48" s="39" t="n">
        <f aca="false">23.95+(22.7*0.1)</f>
        <v>26.22</v>
      </c>
      <c r="G48" s="40" t="n">
        <v>40.64</v>
      </c>
      <c r="H48" s="40" t="n">
        <v>7.65</v>
      </c>
      <c r="I48" s="40" t="n">
        <f aca="false">G48+H48</f>
        <v>48.29</v>
      </c>
      <c r="J48" s="40" t="n">
        <f aca="false">G48*F48</f>
        <v>1065.5808</v>
      </c>
      <c r="K48" s="40" t="n">
        <f aca="false">H48*F48</f>
        <v>200.583</v>
      </c>
      <c r="L48" s="40" t="n">
        <f aca="false">J48+K48</f>
        <v>1266.1638</v>
      </c>
      <c r="M48" s="40" t="n">
        <f aca="false">ROUND(L48*(1+$M$4),2)</f>
        <v>1595.62</v>
      </c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</row>
    <row r="49" customFormat="false" ht="15" hidden="false" customHeight="false" outlineLevel="0" collapsed="false">
      <c r="A49" s="34" t="s">
        <v>146</v>
      </c>
      <c r="B49" s="35" t="s">
        <v>147</v>
      </c>
      <c r="C49" s="36" t="s">
        <v>148</v>
      </c>
      <c r="D49" s="37" t="s">
        <v>149</v>
      </c>
      <c r="E49" s="38" t="s">
        <v>93</v>
      </c>
      <c r="F49" s="39" t="n">
        <v>1</v>
      </c>
      <c r="G49" s="40" t="n">
        <v>72.49</v>
      </c>
      <c r="H49" s="40" t="n">
        <v>20.8</v>
      </c>
      <c r="I49" s="40" t="n">
        <f aca="false">G49+H49</f>
        <v>93.29</v>
      </c>
      <c r="J49" s="40" t="n">
        <f aca="false">G49*F49</f>
        <v>72.49</v>
      </c>
      <c r="K49" s="40" t="n">
        <f aca="false">H49*F49</f>
        <v>20.8</v>
      </c>
      <c r="L49" s="40" t="n">
        <f aca="false">J49+K49</f>
        <v>93.29</v>
      </c>
      <c r="M49" s="40" t="n">
        <f aca="false">ROUND(L49*(1+$M$4),2)</f>
        <v>117.56</v>
      </c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</row>
    <row r="50" customFormat="false" ht="15" hidden="false" customHeight="false" outlineLevel="0" collapsed="false">
      <c r="A50" s="34" t="s">
        <v>150</v>
      </c>
      <c r="B50" s="35" t="s">
        <v>151</v>
      </c>
      <c r="C50" s="36" t="s">
        <v>152</v>
      </c>
      <c r="D50" s="37" t="s">
        <v>153</v>
      </c>
      <c r="E50" s="38" t="s">
        <v>84</v>
      </c>
      <c r="F50" s="39" t="n">
        <f aca="false">2*2.1</f>
        <v>4.2</v>
      </c>
      <c r="G50" s="40" t="n">
        <v>689.23</v>
      </c>
      <c r="H50" s="40" t="n">
        <v>7.99</v>
      </c>
      <c r="I50" s="40" t="n">
        <f aca="false">G50+H50</f>
        <v>697.22</v>
      </c>
      <c r="J50" s="40" t="n">
        <f aca="false">G50*F50</f>
        <v>2894.766</v>
      </c>
      <c r="K50" s="40" t="n">
        <f aca="false">H50*F50</f>
        <v>33.558</v>
      </c>
      <c r="L50" s="40" t="n">
        <f aca="false">J50+K50</f>
        <v>2928.324</v>
      </c>
      <c r="M50" s="40" t="n">
        <f aca="false">ROUND(L50*(1+$M$4),2)</f>
        <v>3690.27</v>
      </c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</row>
    <row r="51" customFormat="false" ht="15" hidden="false" customHeight="false" outlineLevel="0" collapsed="false">
      <c r="A51" s="34" t="s">
        <v>154</v>
      </c>
      <c r="B51" s="35" t="s">
        <v>155</v>
      </c>
      <c r="C51" s="36" t="s">
        <v>156</v>
      </c>
      <c r="D51" s="37" t="s">
        <v>157</v>
      </c>
      <c r="E51" s="38" t="s">
        <v>84</v>
      </c>
      <c r="F51" s="39" t="n">
        <v>63.6</v>
      </c>
      <c r="G51" s="40" t="n">
        <v>2.06</v>
      </c>
      <c r="H51" s="40" t="n">
        <v>1.02</v>
      </c>
      <c r="I51" s="40" t="n">
        <f aca="false">G51+H51</f>
        <v>3.08</v>
      </c>
      <c r="J51" s="40" t="n">
        <f aca="false">G51*F51</f>
        <v>131.016</v>
      </c>
      <c r="K51" s="40" t="n">
        <f aca="false">H51*F51</f>
        <v>64.872</v>
      </c>
      <c r="L51" s="40" t="n">
        <f aca="false">J51+K51</f>
        <v>195.888</v>
      </c>
      <c r="M51" s="40" t="n">
        <f aca="false">ROUND(L51*(1+$M$4),2)</f>
        <v>246.86</v>
      </c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</row>
    <row r="52" customFormat="false" ht="15" hidden="false" customHeight="false" outlineLevel="0" collapsed="false">
      <c r="A52" s="34" t="s">
        <v>158</v>
      </c>
      <c r="B52" s="35" t="s">
        <v>159</v>
      </c>
      <c r="C52" s="36" t="s">
        <v>78</v>
      </c>
      <c r="D52" s="37" t="s">
        <v>79</v>
      </c>
      <c r="E52" s="38" t="s">
        <v>84</v>
      </c>
      <c r="F52" s="39" t="n">
        <f aca="false">F51</f>
        <v>63.6</v>
      </c>
      <c r="G52" s="40" t="n">
        <v>10.56</v>
      </c>
      <c r="H52" s="40" t="n">
        <v>4.93</v>
      </c>
      <c r="I52" s="40" t="n">
        <f aca="false">G52+H52</f>
        <v>15.49</v>
      </c>
      <c r="J52" s="40" t="n">
        <f aca="false">G52*F52</f>
        <v>671.616</v>
      </c>
      <c r="K52" s="40" t="n">
        <f aca="false">H52*F52</f>
        <v>313.548</v>
      </c>
      <c r="L52" s="40" t="n">
        <f aca="false">J52+K52</f>
        <v>985.164</v>
      </c>
      <c r="M52" s="40" t="n">
        <f aca="false">ROUND(L52*(1+$M$4),2)</f>
        <v>1241.5</v>
      </c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</row>
    <row r="53" customFormat="false" ht="15" hidden="false" customHeight="false" outlineLevel="0" collapsed="false">
      <c r="A53" s="34" t="s">
        <v>160</v>
      </c>
      <c r="B53" s="35" t="s">
        <v>161</v>
      </c>
      <c r="C53" s="36" t="s">
        <v>162</v>
      </c>
      <c r="D53" s="37" t="s">
        <v>83</v>
      </c>
      <c r="E53" s="38" t="s">
        <v>84</v>
      </c>
      <c r="F53" s="39" t="n">
        <f aca="false">F54+F55</f>
        <v>4.29</v>
      </c>
      <c r="G53" s="40" t="n">
        <v>3.78</v>
      </c>
      <c r="H53" s="40" t="n">
        <v>6.26</v>
      </c>
      <c r="I53" s="40" t="n">
        <f aca="false">G53+H53</f>
        <v>10.04</v>
      </c>
      <c r="J53" s="40" t="n">
        <f aca="false">G53*F53</f>
        <v>16.2162</v>
      </c>
      <c r="K53" s="40" t="n">
        <f aca="false">H53*F53</f>
        <v>26.8554</v>
      </c>
      <c r="L53" s="40" t="n">
        <f aca="false">J53+K53</f>
        <v>43.0716</v>
      </c>
      <c r="M53" s="40" t="n">
        <f aca="false">ROUND(L53*(1+$M$4),2)</f>
        <v>54.28</v>
      </c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</row>
    <row r="54" customFormat="false" ht="15" hidden="false" customHeight="false" outlineLevel="0" collapsed="false">
      <c r="A54" s="34" t="s">
        <v>163</v>
      </c>
      <c r="B54" s="35" t="s">
        <v>164</v>
      </c>
      <c r="C54" s="36" t="s">
        <v>165</v>
      </c>
      <c r="D54" s="37" t="s">
        <v>166</v>
      </c>
      <c r="E54" s="38" t="s">
        <v>84</v>
      </c>
      <c r="F54" s="39" t="n">
        <f aca="false">(0.9*2.1)</f>
        <v>1.89</v>
      </c>
      <c r="G54" s="40" t="n">
        <v>10</v>
      </c>
      <c r="H54" s="40" t="n">
        <v>19.03</v>
      </c>
      <c r="I54" s="40" t="n">
        <f aca="false">G54+H54</f>
        <v>29.03</v>
      </c>
      <c r="J54" s="40" t="n">
        <f aca="false">G54*F54</f>
        <v>18.9</v>
      </c>
      <c r="K54" s="40" t="n">
        <f aca="false">H54*F54</f>
        <v>35.9667</v>
      </c>
      <c r="L54" s="40" t="n">
        <f aca="false">J54+K54</f>
        <v>54.8667</v>
      </c>
      <c r="M54" s="40" t="n">
        <f aca="false">ROUND(L54*(1+$M$4),2)</f>
        <v>69.14</v>
      </c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</row>
    <row r="55" customFormat="false" ht="15" hidden="false" customHeight="false" outlineLevel="0" collapsed="false">
      <c r="A55" s="34" t="s">
        <v>167</v>
      </c>
      <c r="B55" s="35" t="s">
        <v>168</v>
      </c>
      <c r="C55" s="36" t="s">
        <v>169</v>
      </c>
      <c r="D55" s="37" t="s">
        <v>170</v>
      </c>
      <c r="E55" s="38" t="s">
        <v>84</v>
      </c>
      <c r="F55" s="39" t="n">
        <f aca="false">3*0.8</f>
        <v>2.4</v>
      </c>
      <c r="G55" s="40" t="n">
        <v>10</v>
      </c>
      <c r="H55" s="40" t="n">
        <v>19.03</v>
      </c>
      <c r="I55" s="40" t="n">
        <f aca="false">G55+H55</f>
        <v>29.03</v>
      </c>
      <c r="J55" s="40" t="n">
        <f aca="false">G55*F55</f>
        <v>24</v>
      </c>
      <c r="K55" s="40" t="n">
        <f aca="false">H55*F55</f>
        <v>45.672</v>
      </c>
      <c r="L55" s="40" t="n">
        <f aca="false">J55+K55</f>
        <v>69.672</v>
      </c>
      <c r="M55" s="40" t="n">
        <f aca="false">ROUND(L55*(1+$M$4),2)</f>
        <v>87.8</v>
      </c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</row>
    <row r="56" customFormat="false" ht="15" hidden="false" customHeight="false" outlineLevel="0" collapsed="false">
      <c r="A56" s="34" t="s">
        <v>171</v>
      </c>
      <c r="B56" s="35" t="s">
        <v>172</v>
      </c>
      <c r="C56" s="36" t="s">
        <v>173</v>
      </c>
      <c r="D56" s="37" t="s">
        <v>174</v>
      </c>
      <c r="E56" s="38" t="s">
        <v>84</v>
      </c>
      <c r="F56" s="39" t="n">
        <v>2.4</v>
      </c>
      <c r="G56" s="40" t="n">
        <v>201.39</v>
      </c>
      <c r="H56" s="40" t="n">
        <v>23.01</v>
      </c>
      <c r="I56" s="40" t="n">
        <f aca="false">G56+H56</f>
        <v>224.4</v>
      </c>
      <c r="J56" s="40" t="n">
        <f aca="false">G56*F56</f>
        <v>483.336</v>
      </c>
      <c r="K56" s="40" t="n">
        <f aca="false">H56*F56</f>
        <v>55.224</v>
      </c>
      <c r="L56" s="40" t="n">
        <f aca="false">J56+K56</f>
        <v>538.56</v>
      </c>
      <c r="M56" s="40" t="n">
        <f aca="false">ROUND(L56*(1+$M$4),2)</f>
        <v>678.69</v>
      </c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</row>
    <row r="57" customFormat="false" ht="15" hidden="false" customHeight="false" outlineLevel="0" collapsed="false">
      <c r="A57" s="34" t="s">
        <v>175</v>
      </c>
      <c r="B57" s="35" t="s">
        <v>176</v>
      </c>
      <c r="C57" s="36" t="s">
        <v>177</v>
      </c>
      <c r="D57" s="37" t="s">
        <v>178</v>
      </c>
      <c r="E57" s="38" t="s">
        <v>84</v>
      </c>
      <c r="F57" s="39" t="n">
        <v>1</v>
      </c>
      <c r="G57" s="40" t="n">
        <v>106.16</v>
      </c>
      <c r="H57" s="40" t="n">
        <v>17.03</v>
      </c>
      <c r="I57" s="40" t="n">
        <f aca="false">G57+H57</f>
        <v>123.19</v>
      </c>
      <c r="J57" s="40" t="n">
        <f aca="false">G57*F57</f>
        <v>106.16</v>
      </c>
      <c r="K57" s="40" t="n">
        <f aca="false">H57*F57</f>
        <v>17.03</v>
      </c>
      <c r="L57" s="40" t="n">
        <f aca="false">J57+K57</f>
        <v>123.19</v>
      </c>
      <c r="M57" s="40" t="n">
        <f aca="false">ROUND(L57*(1+$M$4),2)</f>
        <v>155.24</v>
      </c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</row>
    <row r="58" customFormat="false" ht="15" hidden="false" customHeight="true" outlineLevel="0" collapsed="false">
      <c r="A58" s="43" t="s">
        <v>179</v>
      </c>
      <c r="B58" s="44" t="s">
        <v>180</v>
      </c>
      <c r="C58" s="44"/>
      <c r="D58" s="45"/>
      <c r="E58" s="46"/>
      <c r="F58" s="47"/>
      <c r="G58" s="48"/>
      <c r="H58" s="48"/>
      <c r="I58" s="48"/>
      <c r="J58" s="48"/>
      <c r="K58" s="48"/>
      <c r="L58" s="48"/>
      <c r="M58" s="48"/>
      <c r="N58" s="49" t="n">
        <f aca="false">M58</f>
        <v>0</v>
      </c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</row>
    <row r="59" customFormat="false" ht="15" hidden="false" customHeight="false" outlineLevel="0" collapsed="false">
      <c r="A59" s="34" t="s">
        <v>181</v>
      </c>
      <c r="B59" s="35" t="s">
        <v>182</v>
      </c>
      <c r="C59" s="36" t="s">
        <v>183</v>
      </c>
      <c r="D59" s="37" t="s">
        <v>184</v>
      </c>
      <c r="E59" s="38" t="s">
        <v>84</v>
      </c>
      <c r="F59" s="39" t="n">
        <f aca="false">(5.48*2.8*0.15)</f>
        <v>2.3016</v>
      </c>
      <c r="G59" s="40" t="n">
        <v>34.12</v>
      </c>
      <c r="H59" s="40" t="n">
        <v>80.56</v>
      </c>
      <c r="I59" s="40" t="n">
        <f aca="false">G59+H59</f>
        <v>114.68</v>
      </c>
      <c r="J59" s="40" t="n">
        <f aca="false">G59*F59</f>
        <v>78.530592</v>
      </c>
      <c r="K59" s="40" t="n">
        <f aca="false">H59*F59</f>
        <v>185.416896</v>
      </c>
      <c r="L59" s="40" t="n">
        <f aca="false">J59+K59</f>
        <v>263.947488</v>
      </c>
      <c r="M59" s="40" t="n">
        <f aca="false">ROUND(L59*(1+$M$4),2)</f>
        <v>332.63</v>
      </c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</row>
    <row r="60" customFormat="false" ht="15" hidden="false" customHeight="false" outlineLevel="0" collapsed="false">
      <c r="A60" s="34" t="s">
        <v>185</v>
      </c>
      <c r="B60" s="35" t="s">
        <v>186</v>
      </c>
      <c r="C60" s="36" t="s">
        <v>44</v>
      </c>
      <c r="D60" s="37" t="s">
        <v>45</v>
      </c>
      <c r="E60" s="38" t="s">
        <v>84</v>
      </c>
      <c r="F60" s="39" t="n">
        <f aca="false">(0.8*2.1)*3</f>
        <v>5.04</v>
      </c>
      <c r="G60" s="40" t="n">
        <v>15.97</v>
      </c>
      <c r="H60" s="40" t="n">
        <v>18.3</v>
      </c>
      <c r="I60" s="40" t="n">
        <f aca="false">G60+H60</f>
        <v>34.27</v>
      </c>
      <c r="J60" s="40" t="n">
        <f aca="false">G60*F60</f>
        <v>80.4888</v>
      </c>
      <c r="K60" s="40" t="n">
        <f aca="false">H60*F60</f>
        <v>92.232</v>
      </c>
      <c r="L60" s="40" t="n">
        <f aca="false">J60+K60</f>
        <v>172.7208</v>
      </c>
      <c r="M60" s="40" t="n">
        <f aca="false">ROUND(L60*(1+$M$4),2)</f>
        <v>217.66</v>
      </c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</row>
    <row r="61" customFormat="false" ht="15" hidden="false" customHeight="false" outlineLevel="0" collapsed="false">
      <c r="A61" s="34" t="s">
        <v>187</v>
      </c>
      <c r="B61" s="35" t="s">
        <v>188</v>
      </c>
      <c r="C61" s="36" t="s">
        <v>40</v>
      </c>
      <c r="D61" s="37" t="s">
        <v>41</v>
      </c>
      <c r="E61" s="38" t="s">
        <v>84</v>
      </c>
      <c r="F61" s="39" t="n">
        <f aca="false">(1.5*1.2)+(1.1*0.8)</f>
        <v>2.68</v>
      </c>
      <c r="G61" s="40" t="n">
        <v>15.97</v>
      </c>
      <c r="H61" s="40" t="n">
        <v>18.3</v>
      </c>
      <c r="I61" s="40" t="n">
        <f aca="false">G61+H61</f>
        <v>34.27</v>
      </c>
      <c r="J61" s="40" t="n">
        <f aca="false">G61*F61</f>
        <v>42.7996</v>
      </c>
      <c r="K61" s="40" t="n">
        <f aca="false">H61*F61</f>
        <v>49.044</v>
      </c>
      <c r="L61" s="40" t="n">
        <f aca="false">J61+K61</f>
        <v>91.8436</v>
      </c>
      <c r="M61" s="40" t="n">
        <f aca="false">ROUND(L61*(1+$M$4),2)</f>
        <v>115.74</v>
      </c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</row>
    <row r="62" customFormat="false" ht="15" hidden="false" customHeight="false" outlineLevel="0" collapsed="false">
      <c r="A62" s="34" t="s">
        <v>189</v>
      </c>
      <c r="B62" s="35" t="s">
        <v>190</v>
      </c>
      <c r="C62" s="36" t="s">
        <v>191</v>
      </c>
      <c r="D62" s="37" t="s">
        <v>192</v>
      </c>
      <c r="E62" s="38" t="s">
        <v>84</v>
      </c>
      <c r="F62" s="39" t="n">
        <f aca="false">(4.14+2.3)*2.8</f>
        <v>18.032</v>
      </c>
      <c r="G62" s="40" t="n">
        <v>0.72</v>
      </c>
      <c r="H62" s="40" t="n">
        <v>2.01</v>
      </c>
      <c r="I62" s="40" t="n">
        <f aca="false">G62+H62</f>
        <v>2.73</v>
      </c>
      <c r="J62" s="40" t="n">
        <f aca="false">G62*F62</f>
        <v>12.98304</v>
      </c>
      <c r="K62" s="40" t="n">
        <f aca="false">H62*F62</f>
        <v>36.24432</v>
      </c>
      <c r="L62" s="40" t="n">
        <f aca="false">J62+K62</f>
        <v>49.22736</v>
      </c>
      <c r="M62" s="40" t="n">
        <f aca="false">ROUND(L62*(1+$M$4),2)</f>
        <v>62.04</v>
      </c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</row>
    <row r="63" customFormat="false" ht="15" hidden="false" customHeight="false" outlineLevel="0" collapsed="false">
      <c r="A63" s="34" t="s">
        <v>193</v>
      </c>
      <c r="B63" s="35" t="s">
        <v>194</v>
      </c>
      <c r="C63" s="36" t="s">
        <v>118</v>
      </c>
      <c r="D63" s="37" t="s">
        <v>119</v>
      </c>
      <c r="E63" s="38" t="s">
        <v>84</v>
      </c>
      <c r="F63" s="39" t="n">
        <f aca="false">13.95+1.98</f>
        <v>15.93</v>
      </c>
      <c r="G63" s="40" t="n">
        <v>6.73</v>
      </c>
      <c r="H63" s="40" t="n">
        <v>17.56</v>
      </c>
      <c r="I63" s="40" t="n">
        <f aca="false">G63+H63</f>
        <v>24.29</v>
      </c>
      <c r="J63" s="40" t="n">
        <f aca="false">G63*F63</f>
        <v>107.2089</v>
      </c>
      <c r="K63" s="40" t="n">
        <f aca="false">H63*F63</f>
        <v>279.7308</v>
      </c>
      <c r="L63" s="40" t="n">
        <f aca="false">J63+K63</f>
        <v>386.9397</v>
      </c>
      <c r="M63" s="40" t="n">
        <f aca="false">ROUND(L63*(1+$M$4),2)</f>
        <v>487.62</v>
      </c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</row>
    <row r="64" customFormat="false" ht="15" hidden="false" customHeight="false" outlineLevel="0" collapsed="false">
      <c r="A64" s="34" t="s">
        <v>195</v>
      </c>
      <c r="B64" s="35" t="s">
        <v>196</v>
      </c>
      <c r="C64" s="36" t="s">
        <v>197</v>
      </c>
      <c r="D64" s="37" t="s">
        <v>198</v>
      </c>
      <c r="E64" s="38" t="s">
        <v>84</v>
      </c>
      <c r="F64" s="39" t="n">
        <v>4.1</v>
      </c>
      <c r="G64" s="40" t="n">
        <v>6.33</v>
      </c>
      <c r="H64" s="40" t="n">
        <v>16.07</v>
      </c>
      <c r="I64" s="40" t="n">
        <f aca="false">G64+H64</f>
        <v>22.4</v>
      </c>
      <c r="J64" s="40" t="n">
        <f aca="false">G64*F64</f>
        <v>25.953</v>
      </c>
      <c r="K64" s="40" t="n">
        <f aca="false">H64*F64</f>
        <v>65.887</v>
      </c>
      <c r="L64" s="40" t="n">
        <f aca="false">J64+K64</f>
        <v>91.84</v>
      </c>
      <c r="M64" s="40" t="n">
        <f aca="false">ROUND(L64*(1+$M$4),2)</f>
        <v>115.74</v>
      </c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</row>
    <row r="65" customFormat="false" ht="15" hidden="false" customHeight="false" outlineLevel="0" collapsed="false">
      <c r="A65" s="34" t="s">
        <v>199</v>
      </c>
      <c r="B65" s="35" t="s">
        <v>200</v>
      </c>
      <c r="C65" s="36" t="s">
        <v>197</v>
      </c>
      <c r="D65" s="37" t="s">
        <v>198</v>
      </c>
      <c r="E65" s="38" t="s">
        <v>84</v>
      </c>
      <c r="F65" s="39" t="n">
        <f aca="false">3.9*2.8</f>
        <v>10.92</v>
      </c>
      <c r="G65" s="40" t="n">
        <v>6.33</v>
      </c>
      <c r="H65" s="40" t="n">
        <v>16.07</v>
      </c>
      <c r="I65" s="40" t="n">
        <f aca="false">H65+G65</f>
        <v>22.4</v>
      </c>
      <c r="J65" s="40" t="n">
        <f aca="false">G65*F65</f>
        <v>69.1236</v>
      </c>
      <c r="K65" s="40" t="n">
        <f aca="false">H65*F65</f>
        <v>175.4844</v>
      </c>
      <c r="L65" s="40" t="n">
        <f aca="false">J65+K65</f>
        <v>244.608</v>
      </c>
      <c r="M65" s="40" t="n">
        <f aca="false">ROUND(L65*(1+$M$4),2)</f>
        <v>308.26</v>
      </c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</row>
    <row r="66" customFormat="false" ht="15" hidden="false" customHeight="false" outlineLevel="0" collapsed="false">
      <c r="A66" s="34" t="s">
        <v>201</v>
      </c>
      <c r="B66" s="35" t="s">
        <v>202</v>
      </c>
      <c r="C66" s="36" t="s">
        <v>203</v>
      </c>
      <c r="D66" s="37" t="s">
        <v>204</v>
      </c>
      <c r="E66" s="38" t="s">
        <v>84</v>
      </c>
      <c r="F66" s="39" t="n">
        <v>18.85</v>
      </c>
      <c r="G66" s="40" t="n">
        <v>0.43</v>
      </c>
      <c r="H66" s="40" t="n">
        <v>1.29</v>
      </c>
      <c r="I66" s="40" t="n">
        <f aca="false">H66+G66</f>
        <v>1.72</v>
      </c>
      <c r="J66" s="40" t="n">
        <f aca="false">G66*F66</f>
        <v>8.1055</v>
      </c>
      <c r="K66" s="40" t="n">
        <f aca="false">H66*F66</f>
        <v>24.3165</v>
      </c>
      <c r="L66" s="40" t="n">
        <f aca="false">J66+K66</f>
        <v>32.422</v>
      </c>
      <c r="M66" s="40" t="n">
        <f aca="false">ROUND(L66*(1+$M$4),2)</f>
        <v>40.86</v>
      </c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</row>
    <row r="67" customFormat="false" ht="15" hidden="false" customHeight="false" outlineLevel="0" collapsed="false">
      <c r="A67" s="34" t="s">
        <v>205</v>
      </c>
      <c r="B67" s="35" t="s">
        <v>139</v>
      </c>
      <c r="C67" s="36" t="s">
        <v>140</v>
      </c>
      <c r="D67" s="37" t="s">
        <v>141</v>
      </c>
      <c r="E67" s="38" t="s">
        <v>29</v>
      </c>
      <c r="F67" s="39" t="n">
        <f aca="false">F68*0.03</f>
        <v>0.6207</v>
      </c>
      <c r="G67" s="40" t="n">
        <v>432.73</v>
      </c>
      <c r="H67" s="40" t="n">
        <v>51.91</v>
      </c>
      <c r="I67" s="40" t="n">
        <f aca="false">G67+H67</f>
        <v>484.64</v>
      </c>
      <c r="J67" s="40" t="n">
        <f aca="false">G67*F67</f>
        <v>268.595511</v>
      </c>
      <c r="K67" s="40" t="n">
        <f aca="false">H67*F67</f>
        <v>32.220537</v>
      </c>
      <c r="L67" s="40" t="n">
        <f aca="false">J67+K67</f>
        <v>300.816048</v>
      </c>
      <c r="M67" s="40" t="n">
        <f aca="false">ROUND(L67*(1+$M$4),2)</f>
        <v>379.09</v>
      </c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</row>
    <row r="68" customFormat="false" ht="15" hidden="false" customHeight="false" outlineLevel="0" collapsed="false">
      <c r="A68" s="34" t="s">
        <v>206</v>
      </c>
      <c r="B68" s="35" t="s">
        <v>143</v>
      </c>
      <c r="C68" s="36" t="s">
        <v>144</v>
      </c>
      <c r="D68" s="37" t="s">
        <v>145</v>
      </c>
      <c r="E68" s="38" t="s">
        <v>84</v>
      </c>
      <c r="F68" s="39" t="n">
        <f aca="false">18.85+1.84</f>
        <v>20.69</v>
      </c>
      <c r="G68" s="40" t="n">
        <v>40.64</v>
      </c>
      <c r="H68" s="40" t="n">
        <v>7.65</v>
      </c>
      <c r="I68" s="40" t="n">
        <f aca="false">G68+H68</f>
        <v>48.29</v>
      </c>
      <c r="J68" s="40" t="n">
        <f aca="false">G68*F68</f>
        <v>840.8416</v>
      </c>
      <c r="K68" s="40" t="n">
        <f aca="false">H68*F68</f>
        <v>158.2785</v>
      </c>
      <c r="L68" s="40" t="n">
        <f aca="false">J68+K68</f>
        <v>999.1201</v>
      </c>
      <c r="M68" s="40" t="n">
        <f aca="false">ROUND(L68*(1+$M$4),2)</f>
        <v>1259.09</v>
      </c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</row>
    <row r="69" customFormat="false" ht="15" hidden="false" customHeight="false" outlineLevel="0" collapsed="false">
      <c r="A69" s="34" t="s">
        <v>207</v>
      </c>
      <c r="B69" s="35" t="s">
        <v>208</v>
      </c>
      <c r="C69" s="36" t="s">
        <v>130</v>
      </c>
      <c r="D69" s="37" t="s">
        <v>131</v>
      </c>
      <c r="E69" s="38" t="s">
        <v>132</v>
      </c>
      <c r="F69" s="39" t="n">
        <f aca="false">1.9*2</f>
        <v>3.8</v>
      </c>
      <c r="G69" s="40" t="n">
        <v>90.05</v>
      </c>
      <c r="H69" s="40" t="n">
        <v>21.87</v>
      </c>
      <c r="I69" s="40" t="n">
        <f aca="false">G69+H69</f>
        <v>111.92</v>
      </c>
      <c r="J69" s="40" t="n">
        <f aca="false">G69*F69</f>
        <v>342.19</v>
      </c>
      <c r="K69" s="40" t="n">
        <f aca="false">H69*F69</f>
        <v>83.106</v>
      </c>
      <c r="L69" s="40" t="n">
        <f aca="false">J69+K69</f>
        <v>425.296</v>
      </c>
      <c r="M69" s="40" t="n">
        <f aca="false">ROUND(L69*(1+$M$4),2)</f>
        <v>535.96</v>
      </c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</row>
    <row r="70" customFormat="false" ht="15" hidden="false" customHeight="false" outlineLevel="0" collapsed="false">
      <c r="A70" s="34" t="s">
        <v>209</v>
      </c>
      <c r="B70" s="35" t="s">
        <v>210</v>
      </c>
      <c r="C70" s="36" t="n">
        <v>87879</v>
      </c>
      <c r="D70" s="37" t="s">
        <v>63</v>
      </c>
      <c r="E70" s="38" t="s">
        <v>84</v>
      </c>
      <c r="F70" s="39" t="n">
        <f aca="false">18.5*2.8</f>
        <v>51.8</v>
      </c>
      <c r="G70" s="40" t="n">
        <v>2.11</v>
      </c>
      <c r="H70" s="40" t="n">
        <v>1.87</v>
      </c>
      <c r="I70" s="40" t="n">
        <f aca="false">G70+H70</f>
        <v>3.98</v>
      </c>
      <c r="J70" s="40" t="n">
        <f aca="false">G70*F70</f>
        <v>109.298</v>
      </c>
      <c r="K70" s="40" t="n">
        <f aca="false">H70*F70</f>
        <v>96.866</v>
      </c>
      <c r="L70" s="40" t="n">
        <f aca="false">J70+K70</f>
        <v>206.164</v>
      </c>
      <c r="M70" s="40" t="n">
        <f aca="false">ROUND(L70*(1+$M$4),2)</f>
        <v>259.81</v>
      </c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</row>
    <row r="71" customFormat="false" ht="15" hidden="false" customHeight="false" outlineLevel="0" collapsed="false">
      <c r="A71" s="34" t="s">
        <v>211</v>
      </c>
      <c r="B71" s="35" t="s">
        <v>212</v>
      </c>
      <c r="C71" s="36" t="s">
        <v>66</v>
      </c>
      <c r="D71" s="37" t="s">
        <v>67</v>
      </c>
      <c r="E71" s="38" t="s">
        <v>84</v>
      </c>
      <c r="F71" s="39" t="n">
        <f aca="false">18.5*2.8</f>
        <v>51.8</v>
      </c>
      <c r="G71" s="40" t="n">
        <v>18.08</v>
      </c>
      <c r="H71" s="40" t="n">
        <v>15</v>
      </c>
      <c r="I71" s="40" t="n">
        <f aca="false">G71+H71</f>
        <v>33.08</v>
      </c>
      <c r="J71" s="40" t="n">
        <f aca="false">G71*F71</f>
        <v>936.544</v>
      </c>
      <c r="K71" s="40" t="n">
        <f aca="false">H71*F71</f>
        <v>777</v>
      </c>
      <c r="L71" s="40" t="n">
        <f aca="false">J71+K71</f>
        <v>1713.544</v>
      </c>
      <c r="M71" s="40" t="n">
        <f aca="false">ROUND(L71*(1+$M$4),2)</f>
        <v>2159.41</v>
      </c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</row>
    <row r="72" customFormat="false" ht="15" hidden="false" customHeight="false" outlineLevel="0" collapsed="false">
      <c r="A72" s="34" t="s">
        <v>213</v>
      </c>
      <c r="B72" s="35" t="s">
        <v>155</v>
      </c>
      <c r="C72" s="36" t="s">
        <v>156</v>
      </c>
      <c r="D72" s="37" t="s">
        <v>157</v>
      </c>
      <c r="E72" s="38" t="s">
        <v>84</v>
      </c>
      <c r="F72" s="39" t="n">
        <f aca="false">18.5*2.8</f>
        <v>51.8</v>
      </c>
      <c r="G72" s="40" t="n">
        <v>2.06</v>
      </c>
      <c r="H72" s="40" t="n">
        <v>1.02</v>
      </c>
      <c r="I72" s="40" t="n">
        <f aca="false">G72+H72</f>
        <v>3.08</v>
      </c>
      <c r="J72" s="40" t="n">
        <f aca="false">G72*F72</f>
        <v>106.708</v>
      </c>
      <c r="K72" s="40" t="n">
        <f aca="false">H72*F72</f>
        <v>52.836</v>
      </c>
      <c r="L72" s="40" t="n">
        <f aca="false">J72+K72</f>
        <v>159.544</v>
      </c>
      <c r="M72" s="40" t="n">
        <f aca="false">ROUND(L72*(1+$M$4),2)</f>
        <v>201.06</v>
      </c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</row>
    <row r="73" customFormat="false" ht="15" hidden="false" customHeight="false" outlineLevel="0" collapsed="false">
      <c r="A73" s="34" t="s">
        <v>214</v>
      </c>
      <c r="B73" s="35" t="s">
        <v>159</v>
      </c>
      <c r="C73" s="36" t="s">
        <v>78</v>
      </c>
      <c r="D73" s="37" t="s">
        <v>79</v>
      </c>
      <c r="E73" s="38" t="s">
        <v>84</v>
      </c>
      <c r="F73" s="39" t="n">
        <f aca="false">F72</f>
        <v>51.8</v>
      </c>
      <c r="G73" s="40" t="n">
        <v>10.56</v>
      </c>
      <c r="H73" s="40" t="n">
        <v>4.93</v>
      </c>
      <c r="I73" s="40" t="n">
        <f aca="false">G73+H73</f>
        <v>15.49</v>
      </c>
      <c r="J73" s="40" t="n">
        <f aca="false">G73*F73</f>
        <v>547.008</v>
      </c>
      <c r="K73" s="40" t="n">
        <f aca="false">H73*F73</f>
        <v>255.374</v>
      </c>
      <c r="L73" s="40" t="n">
        <f aca="false">J73+K73</f>
        <v>802.382</v>
      </c>
      <c r="M73" s="40" t="n">
        <f aca="false">ROUND(L73*(1+$M$4),2)</f>
        <v>1011.16</v>
      </c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</row>
    <row r="74" customFormat="false" ht="15" hidden="false" customHeight="false" outlineLevel="0" collapsed="false">
      <c r="A74" s="34" t="s">
        <v>215</v>
      </c>
      <c r="B74" s="35" t="s">
        <v>216</v>
      </c>
      <c r="C74" s="36" t="s">
        <v>217</v>
      </c>
      <c r="D74" s="37" t="s">
        <v>218</v>
      </c>
      <c r="E74" s="38" t="s">
        <v>84</v>
      </c>
      <c r="F74" s="39" t="n">
        <f aca="false">18.85</f>
        <v>18.85</v>
      </c>
      <c r="G74" s="40" t="n">
        <v>63.92</v>
      </c>
      <c r="H74" s="40" t="n">
        <v>11.04</v>
      </c>
      <c r="I74" s="40" t="n">
        <f aca="false">G74+H74</f>
        <v>74.96</v>
      </c>
      <c r="J74" s="40" t="n">
        <f aca="false">G74*F74</f>
        <v>1204.892</v>
      </c>
      <c r="K74" s="40" t="n">
        <f aca="false">H74*F74</f>
        <v>208.104</v>
      </c>
      <c r="L74" s="40" t="n">
        <f aca="false">J74+K74</f>
        <v>1412.996</v>
      </c>
      <c r="M74" s="40" t="n">
        <f aca="false">ROUND(L74*(1+$M$4),2)</f>
        <v>1780.66</v>
      </c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</row>
    <row r="75" customFormat="false" ht="15" hidden="false" customHeight="false" outlineLevel="0" collapsed="false">
      <c r="A75" s="34" t="s">
        <v>219</v>
      </c>
      <c r="B75" s="35" t="s">
        <v>220</v>
      </c>
      <c r="C75" s="36" t="s">
        <v>221</v>
      </c>
      <c r="D75" s="37" t="s">
        <v>222</v>
      </c>
      <c r="E75" s="38" t="s">
        <v>132</v>
      </c>
      <c r="F75" s="39" t="n">
        <v>18.5</v>
      </c>
      <c r="G75" s="40" t="n">
        <v>9.46</v>
      </c>
      <c r="H75" s="40" t="n">
        <v>2.85</v>
      </c>
      <c r="I75" s="40" t="n">
        <f aca="false">G75+H75</f>
        <v>12.31</v>
      </c>
      <c r="J75" s="40" t="n">
        <f aca="false">G75*F75</f>
        <v>175.01</v>
      </c>
      <c r="K75" s="40" t="n">
        <f aca="false">H75*F75</f>
        <v>52.725</v>
      </c>
      <c r="L75" s="40" t="n">
        <f aca="false">J75+K75</f>
        <v>227.735</v>
      </c>
      <c r="M75" s="40" t="n">
        <f aca="false">ROUND(L75*(1+$M$4),2)</f>
        <v>286.99</v>
      </c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</row>
    <row r="76" customFormat="false" ht="15" hidden="false" customHeight="false" outlineLevel="0" collapsed="false">
      <c r="A76" s="34" t="s">
        <v>223</v>
      </c>
      <c r="B76" s="35" t="s">
        <v>224</v>
      </c>
      <c r="C76" s="36" t="s">
        <v>225</v>
      </c>
      <c r="D76" s="37" t="s">
        <v>226</v>
      </c>
      <c r="E76" s="38" t="s">
        <v>84</v>
      </c>
      <c r="F76" s="39" t="n">
        <f aca="false">(1.2*1.5)*2</f>
        <v>3.6</v>
      </c>
      <c r="G76" s="40" t="n">
        <v>371.2</v>
      </c>
      <c r="H76" s="40" t="n">
        <v>27.29</v>
      </c>
      <c r="I76" s="40" t="n">
        <v>398.49</v>
      </c>
      <c r="J76" s="40" t="n">
        <f aca="false">G76*F76</f>
        <v>1336.32</v>
      </c>
      <c r="K76" s="40" t="n">
        <f aca="false">H76*F76</f>
        <v>98.244</v>
      </c>
      <c r="L76" s="40" t="n">
        <f aca="false">J76+K76</f>
        <v>1434.564</v>
      </c>
      <c r="M76" s="40" t="n">
        <f aca="false">ROUND(L76*(1+$M$4),2)</f>
        <v>1807.84</v>
      </c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</row>
    <row r="77" customFormat="false" ht="15" hidden="false" customHeight="false" outlineLevel="0" collapsed="false">
      <c r="A77" s="34" t="s">
        <v>227</v>
      </c>
      <c r="B77" s="35" t="s">
        <v>161</v>
      </c>
      <c r="C77" s="36" t="s">
        <v>162</v>
      </c>
      <c r="D77" s="37" t="s">
        <v>83</v>
      </c>
      <c r="E77" s="38" t="s">
        <v>84</v>
      </c>
      <c r="F77" s="39" t="n">
        <f aca="false">0.8*2.1</f>
        <v>1.68</v>
      </c>
      <c r="G77" s="40" t="n">
        <v>3.78</v>
      </c>
      <c r="H77" s="40" t="n">
        <v>6.26</v>
      </c>
      <c r="I77" s="40" t="n">
        <f aca="false">G77+H77</f>
        <v>10.04</v>
      </c>
      <c r="J77" s="40" t="n">
        <f aca="false">G77*F77</f>
        <v>6.3504</v>
      </c>
      <c r="K77" s="40" t="n">
        <f aca="false">H77*F77</f>
        <v>10.5168</v>
      </c>
      <c r="L77" s="40" t="n">
        <f aca="false">J77+K77</f>
        <v>16.8672</v>
      </c>
      <c r="M77" s="40" t="n">
        <f aca="false">ROUND(L77*(1+$M$4),2)</f>
        <v>21.26</v>
      </c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</row>
    <row r="78" customFormat="false" ht="15" hidden="false" customHeight="false" outlineLevel="0" collapsed="false">
      <c r="A78" s="34" t="s">
        <v>228</v>
      </c>
      <c r="B78" s="35" t="s">
        <v>164</v>
      </c>
      <c r="C78" s="36" t="s">
        <v>87</v>
      </c>
      <c r="D78" s="37" t="s">
        <v>88</v>
      </c>
      <c r="E78" s="38" t="s">
        <v>84</v>
      </c>
      <c r="F78" s="39" t="n">
        <f aca="false">0.8*2.1</f>
        <v>1.68</v>
      </c>
      <c r="G78" s="40" t="n">
        <v>8.97</v>
      </c>
      <c r="H78" s="40" t="n">
        <v>12.7</v>
      </c>
      <c r="I78" s="40" t="n">
        <f aca="false">G78+H78</f>
        <v>21.67</v>
      </c>
      <c r="J78" s="40" t="n">
        <f aca="false">G78*F78</f>
        <v>15.0696</v>
      </c>
      <c r="K78" s="40" t="n">
        <f aca="false">H78*F78</f>
        <v>21.336</v>
      </c>
      <c r="L78" s="40" t="n">
        <f aca="false">J78+K78</f>
        <v>36.4056</v>
      </c>
      <c r="M78" s="40" t="n">
        <f aca="false">ROUND(L78*(1+$M$4),2)</f>
        <v>45.88</v>
      </c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</row>
    <row r="79" customFormat="false" ht="15" hidden="false" customHeight="false" outlineLevel="0" collapsed="false">
      <c r="A79" s="34" t="s">
        <v>229</v>
      </c>
      <c r="B79" s="35" t="s">
        <v>147</v>
      </c>
      <c r="C79" s="36" t="s">
        <v>148</v>
      </c>
      <c r="D79" s="37" t="s">
        <v>149</v>
      </c>
      <c r="E79" s="38" t="s">
        <v>93</v>
      </c>
      <c r="F79" s="39" t="n">
        <v>1</v>
      </c>
      <c r="G79" s="40" t="n">
        <v>72.49</v>
      </c>
      <c r="H79" s="40" t="n">
        <v>20.8</v>
      </c>
      <c r="I79" s="40" t="n">
        <f aca="false">G79+H79</f>
        <v>93.29</v>
      </c>
      <c r="J79" s="40" t="n">
        <f aca="false">G79*F79</f>
        <v>72.49</v>
      </c>
      <c r="K79" s="40" t="n">
        <f aca="false">H79*F79</f>
        <v>20.8</v>
      </c>
      <c r="L79" s="40" t="n">
        <f aca="false">J79+K79</f>
        <v>93.29</v>
      </c>
      <c r="M79" s="40" t="n">
        <f aca="false">ROUND(L79*(1+$M$4),2)</f>
        <v>117.56</v>
      </c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</row>
    <row r="80" customFormat="false" ht="15" hidden="false" customHeight="true" outlineLevel="0" collapsed="false">
      <c r="A80" s="43" t="s">
        <v>230</v>
      </c>
      <c r="B80" s="44" t="s">
        <v>231</v>
      </c>
      <c r="C80" s="44"/>
      <c r="D80" s="51"/>
      <c r="E80" s="52"/>
      <c r="F80" s="53"/>
      <c r="G80" s="48"/>
      <c r="H80" s="48"/>
      <c r="I80" s="48"/>
      <c r="J80" s="48"/>
      <c r="K80" s="48"/>
      <c r="L80" s="48"/>
      <c r="M80" s="48"/>
      <c r="N80" s="54" t="n">
        <f aca="false">M80</f>
        <v>0</v>
      </c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55"/>
      <c r="AO80" s="55"/>
      <c r="AP80" s="55"/>
      <c r="AQ80" s="55"/>
      <c r="AR80" s="55"/>
      <c r="AS80" s="55"/>
      <c r="AT80" s="55"/>
      <c r="AU80" s="55"/>
      <c r="AV80" s="55"/>
      <c r="AW80" s="55"/>
      <c r="AX80" s="55"/>
      <c r="AY80" s="55"/>
      <c r="AZ80" s="55"/>
    </row>
    <row r="81" customFormat="false" ht="15" hidden="false" customHeight="false" outlineLevel="0" collapsed="false">
      <c r="A81" s="34" t="s">
        <v>232</v>
      </c>
      <c r="B81" s="35" t="s">
        <v>188</v>
      </c>
      <c r="C81" s="36" t="s">
        <v>40</v>
      </c>
      <c r="D81" s="37" t="s">
        <v>41</v>
      </c>
      <c r="E81" s="38" t="s">
        <v>84</v>
      </c>
      <c r="F81" s="39" t="n">
        <f aca="false">(2*0.8)+(1*0.6)+(1.5*1.2*2)</f>
        <v>5.8</v>
      </c>
      <c r="G81" s="40" t="n">
        <v>15.97</v>
      </c>
      <c r="H81" s="40" t="n">
        <v>18.3</v>
      </c>
      <c r="I81" s="40" t="n">
        <f aca="false">G81+H81</f>
        <v>34.27</v>
      </c>
      <c r="J81" s="40" t="n">
        <f aca="false">G81*F81</f>
        <v>92.626</v>
      </c>
      <c r="K81" s="40" t="n">
        <f aca="false">H81*F81</f>
        <v>106.14</v>
      </c>
      <c r="L81" s="40" t="n">
        <f aca="false">J81+K81</f>
        <v>198.766</v>
      </c>
      <c r="M81" s="40" t="n">
        <f aca="false">ROUND(L81*(1+$M$4),2)</f>
        <v>250.48</v>
      </c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</row>
    <row r="82" customFormat="false" ht="15" hidden="false" customHeight="false" outlineLevel="0" collapsed="false">
      <c r="A82" s="34" t="s">
        <v>233</v>
      </c>
      <c r="B82" s="35" t="s">
        <v>234</v>
      </c>
      <c r="C82" s="36" t="s">
        <v>44</v>
      </c>
      <c r="D82" s="37" t="s">
        <v>45</v>
      </c>
      <c r="E82" s="38" t="s">
        <v>84</v>
      </c>
      <c r="F82" s="39" t="n">
        <f aca="false">((0.8*2.1)*2)+(0.6*2.1)</f>
        <v>4.62</v>
      </c>
      <c r="G82" s="40" t="n">
        <v>2.51</v>
      </c>
      <c r="H82" s="40" t="n">
        <v>6.63</v>
      </c>
      <c r="I82" s="40" t="n">
        <f aca="false">G82+H82</f>
        <v>9.14</v>
      </c>
      <c r="J82" s="40" t="n">
        <f aca="false">G82*F82</f>
        <v>11.5962</v>
      </c>
      <c r="K82" s="40" t="n">
        <f aca="false">H82*F82</f>
        <v>30.6306</v>
      </c>
      <c r="L82" s="40" t="n">
        <f aca="false">J82+K82</f>
        <v>42.2268</v>
      </c>
      <c r="M82" s="40" t="n">
        <f aca="false">ROUND(L82*(1+$M$4),2)</f>
        <v>53.21</v>
      </c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</row>
    <row r="83" customFormat="false" ht="15" hidden="false" customHeight="false" outlineLevel="0" collapsed="false">
      <c r="A83" s="34" t="s">
        <v>235</v>
      </c>
      <c r="B83" s="35" t="s">
        <v>190</v>
      </c>
      <c r="C83" s="36" t="s">
        <v>191</v>
      </c>
      <c r="D83" s="37" t="s">
        <v>192</v>
      </c>
      <c r="E83" s="38" t="s">
        <v>84</v>
      </c>
      <c r="F83" s="39" t="n">
        <f aca="false">7.84+11.48+(7.22*2.8)</f>
        <v>39.536</v>
      </c>
      <c r="G83" s="40" t="n">
        <v>0.72</v>
      </c>
      <c r="H83" s="40" t="n">
        <v>2.01</v>
      </c>
      <c r="I83" s="40" t="n">
        <f aca="false">G83+H83</f>
        <v>2.73</v>
      </c>
      <c r="J83" s="40" t="n">
        <f aca="false">G83*F83</f>
        <v>28.46592</v>
      </c>
      <c r="K83" s="40" t="n">
        <f aca="false">H83*F83</f>
        <v>79.46736</v>
      </c>
      <c r="L83" s="40" t="n">
        <f aca="false">J83+K83</f>
        <v>107.93328</v>
      </c>
      <c r="M83" s="40" t="n">
        <f aca="false">ROUND(L83*(1+$M$4),2)</f>
        <v>136.02</v>
      </c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</row>
    <row r="84" customFormat="false" ht="15" hidden="false" customHeight="false" outlineLevel="0" collapsed="false">
      <c r="A84" s="34" t="s">
        <v>236</v>
      </c>
      <c r="B84" s="35" t="s">
        <v>194</v>
      </c>
      <c r="C84" s="36" t="s">
        <v>118</v>
      </c>
      <c r="D84" s="37" t="s">
        <v>119</v>
      </c>
      <c r="E84" s="38" t="s">
        <v>84</v>
      </c>
      <c r="F84" s="39" t="n">
        <v>26.6</v>
      </c>
      <c r="G84" s="40" t="n">
        <v>6.73</v>
      </c>
      <c r="H84" s="40" t="n">
        <v>17.56</v>
      </c>
      <c r="I84" s="40" t="n">
        <f aca="false">G84+H84</f>
        <v>24.29</v>
      </c>
      <c r="J84" s="40" t="n">
        <f aca="false">G84*F84</f>
        <v>179.018</v>
      </c>
      <c r="K84" s="40" t="n">
        <f aca="false">H84*F84</f>
        <v>467.096</v>
      </c>
      <c r="L84" s="40" t="n">
        <f aca="false">J84+K84</f>
        <v>646.114</v>
      </c>
      <c r="M84" s="40" t="n">
        <f aca="false">ROUND(L84*(1+$M$4),2)</f>
        <v>814.23</v>
      </c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</row>
    <row r="85" customFormat="false" ht="15" hidden="false" customHeight="false" outlineLevel="0" collapsed="false">
      <c r="A85" s="34" t="s">
        <v>237</v>
      </c>
      <c r="B85" s="35" t="s">
        <v>238</v>
      </c>
      <c r="C85" s="36" t="s">
        <v>197</v>
      </c>
      <c r="D85" s="37" t="s">
        <v>198</v>
      </c>
      <c r="E85" s="38" t="s">
        <v>84</v>
      </c>
      <c r="F85" s="39" t="n">
        <v>16.75</v>
      </c>
      <c r="G85" s="40" t="n">
        <v>6.33</v>
      </c>
      <c r="H85" s="40" t="n">
        <v>16.07</v>
      </c>
      <c r="I85" s="40" t="n">
        <f aca="false">G85+H85</f>
        <v>22.4</v>
      </c>
      <c r="J85" s="40" t="n">
        <f aca="false">G85*F85</f>
        <v>106.0275</v>
      </c>
      <c r="K85" s="40" t="n">
        <f aca="false">H85*F85</f>
        <v>269.1725</v>
      </c>
      <c r="L85" s="40" t="n">
        <f aca="false">J85+K85</f>
        <v>375.2</v>
      </c>
      <c r="M85" s="40" t="n">
        <f aca="false">ROUND(L85*(1+$M$4),2)</f>
        <v>472.83</v>
      </c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</row>
    <row r="86" customFormat="false" ht="15" hidden="false" customHeight="false" outlineLevel="0" collapsed="false">
      <c r="A86" s="34" t="s">
        <v>239</v>
      </c>
      <c r="B86" s="35" t="s">
        <v>200</v>
      </c>
      <c r="C86" s="36" t="s">
        <v>197</v>
      </c>
      <c r="D86" s="37" t="s">
        <v>198</v>
      </c>
      <c r="E86" s="38" t="s">
        <v>84</v>
      </c>
      <c r="F86" s="39" t="n">
        <f aca="false">(12.6*2.8)-7.25</f>
        <v>28.03</v>
      </c>
      <c r="G86" s="40" t="n">
        <v>6.33</v>
      </c>
      <c r="H86" s="40" t="n">
        <v>16.07</v>
      </c>
      <c r="I86" s="40" t="n">
        <f aca="false">G86+H86</f>
        <v>22.4</v>
      </c>
      <c r="J86" s="40" t="n">
        <f aca="false">G86*F86</f>
        <v>177.4299</v>
      </c>
      <c r="K86" s="40" t="n">
        <f aca="false">H86*F86</f>
        <v>450.4421</v>
      </c>
      <c r="L86" s="40" t="n">
        <f aca="false">J86+K86</f>
        <v>627.872</v>
      </c>
      <c r="M86" s="40" t="n">
        <f aca="false">ROUND(L86*(1+$M$4),2)</f>
        <v>791.24</v>
      </c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</row>
    <row r="87" customFormat="false" ht="15" hidden="false" customHeight="false" outlineLevel="0" collapsed="false">
      <c r="A87" s="34" t="s">
        <v>240</v>
      </c>
      <c r="B87" s="35" t="s">
        <v>121</v>
      </c>
      <c r="C87" s="36" t="s">
        <v>122</v>
      </c>
      <c r="D87" s="37" t="s">
        <v>123</v>
      </c>
      <c r="E87" s="38" t="s">
        <v>29</v>
      </c>
      <c r="F87" s="39" t="n">
        <f aca="false">(((2.1*2.1)*2)+1.5+2.1)*0.2</f>
        <v>2.484</v>
      </c>
      <c r="G87" s="40" t="n">
        <v>16.61</v>
      </c>
      <c r="H87" s="40" t="n">
        <v>39.29</v>
      </c>
      <c r="I87" s="40" t="n">
        <f aca="false">G87+H87</f>
        <v>55.9</v>
      </c>
      <c r="J87" s="40" t="n">
        <f aca="false">G87*F87</f>
        <v>41.25924</v>
      </c>
      <c r="K87" s="40" t="n">
        <f aca="false">H87*F87</f>
        <v>97.59636</v>
      </c>
      <c r="L87" s="40" t="n">
        <f aca="false">J87+K87</f>
        <v>138.8556</v>
      </c>
      <c r="M87" s="40" t="n">
        <f aca="false">ROUND(L87*(1+$M$4),2)</f>
        <v>174.99</v>
      </c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</row>
    <row r="88" customFormat="false" ht="15" hidden="false" customHeight="false" outlineLevel="0" collapsed="false">
      <c r="A88" s="34" t="s">
        <v>241</v>
      </c>
      <c r="B88" s="35" t="s">
        <v>242</v>
      </c>
      <c r="C88" s="36" t="s">
        <v>122</v>
      </c>
      <c r="D88" s="37" t="s">
        <v>123</v>
      </c>
      <c r="E88" s="38" t="s">
        <v>29</v>
      </c>
      <c r="F88" s="39" t="n">
        <f aca="false">(1.35*2.1*0.2)+0.6</f>
        <v>1.167</v>
      </c>
      <c r="G88" s="40" t="n">
        <v>16.61</v>
      </c>
      <c r="H88" s="40" t="n">
        <v>39.29</v>
      </c>
      <c r="I88" s="40" t="n">
        <f aca="false">G88+H88</f>
        <v>55.9</v>
      </c>
      <c r="J88" s="40" t="n">
        <f aca="false">G88*F88</f>
        <v>19.38387</v>
      </c>
      <c r="K88" s="40" t="n">
        <f aca="false">H88*F88</f>
        <v>45.85143</v>
      </c>
      <c r="L88" s="40" t="n">
        <f aca="false">J88+K88</f>
        <v>65.2353</v>
      </c>
      <c r="M88" s="40" t="n">
        <f aca="false">ROUND(L88*(1+$M$4),2)</f>
        <v>82.21</v>
      </c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</row>
    <row r="89" customFormat="false" ht="15" hidden="false" customHeight="false" outlineLevel="0" collapsed="false">
      <c r="A89" s="34" t="s">
        <v>243</v>
      </c>
      <c r="B89" s="35" t="s">
        <v>244</v>
      </c>
      <c r="C89" s="36" t="s">
        <v>130</v>
      </c>
      <c r="D89" s="37" t="s">
        <v>131</v>
      </c>
      <c r="E89" s="38" t="s">
        <v>132</v>
      </c>
      <c r="F89" s="39" t="n">
        <f aca="false">(2.6*2)+2.1+1.6</f>
        <v>8.9</v>
      </c>
      <c r="G89" s="40" t="n">
        <v>90.05</v>
      </c>
      <c r="H89" s="40" t="n">
        <v>21.87</v>
      </c>
      <c r="I89" s="40" t="n">
        <f aca="false">G89+H89</f>
        <v>111.92</v>
      </c>
      <c r="J89" s="40" t="n">
        <f aca="false">G89*F89</f>
        <v>801.445</v>
      </c>
      <c r="K89" s="40" t="n">
        <f aca="false">H89*F89</f>
        <v>194.643</v>
      </c>
      <c r="L89" s="40" t="n">
        <f aca="false">J89+K89</f>
        <v>996.088</v>
      </c>
      <c r="M89" s="40" t="n">
        <f aca="false">ROUND(L89*(1+$M$4),2)</f>
        <v>1255.27</v>
      </c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</row>
    <row r="90" customFormat="false" ht="15" hidden="false" customHeight="false" outlineLevel="0" collapsed="false">
      <c r="A90" s="34" t="s">
        <v>245</v>
      </c>
      <c r="B90" s="35" t="s">
        <v>139</v>
      </c>
      <c r="C90" s="36" t="s">
        <v>140</v>
      </c>
      <c r="D90" s="37" t="s">
        <v>141</v>
      </c>
      <c r="E90" s="38" t="s">
        <v>29</v>
      </c>
      <c r="F90" s="39" t="n">
        <f aca="false">(F84+F85)*0.03</f>
        <v>1.3005</v>
      </c>
      <c r="G90" s="40" t="n">
        <v>432.73</v>
      </c>
      <c r="H90" s="40" t="n">
        <v>51.91</v>
      </c>
      <c r="I90" s="40" t="n">
        <f aca="false">G90+H90</f>
        <v>484.64</v>
      </c>
      <c r="J90" s="40" t="n">
        <f aca="false">G90*F90</f>
        <v>562.765365</v>
      </c>
      <c r="K90" s="40" t="n">
        <f aca="false">H90*F90</f>
        <v>67.508955</v>
      </c>
      <c r="L90" s="40" t="n">
        <f aca="false">J90+K90</f>
        <v>630.27432</v>
      </c>
      <c r="M90" s="40" t="n">
        <f aca="false">ROUND(L90*(1+$M$4),2)</f>
        <v>794.27</v>
      </c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</row>
    <row r="91" customFormat="false" ht="15" hidden="false" customHeight="false" outlineLevel="0" collapsed="false">
      <c r="A91" s="34" t="s">
        <v>246</v>
      </c>
      <c r="B91" s="35" t="s">
        <v>143</v>
      </c>
      <c r="C91" s="36" t="s">
        <v>144</v>
      </c>
      <c r="D91" s="37" t="s">
        <v>145</v>
      </c>
      <c r="E91" s="38" t="s">
        <v>84</v>
      </c>
      <c r="F91" s="39" t="n">
        <f aca="false">F84+F85+2</f>
        <v>45.35</v>
      </c>
      <c r="G91" s="40" t="n">
        <v>40.64</v>
      </c>
      <c r="H91" s="40" t="n">
        <v>7.65</v>
      </c>
      <c r="I91" s="40" t="n">
        <f aca="false">G91+H91</f>
        <v>48.29</v>
      </c>
      <c r="J91" s="40" t="n">
        <f aca="false">G91*F91</f>
        <v>1843.024</v>
      </c>
      <c r="K91" s="40" t="n">
        <f aca="false">H91*F91</f>
        <v>346.9275</v>
      </c>
      <c r="L91" s="40" t="n">
        <f aca="false">J91+K91</f>
        <v>2189.9515</v>
      </c>
      <c r="M91" s="40" t="n">
        <f aca="false">ROUND(L91*(1+$M$4),2)</f>
        <v>2759.78</v>
      </c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</row>
    <row r="92" customFormat="false" ht="15" hidden="false" customHeight="false" outlineLevel="0" collapsed="false">
      <c r="A92" s="34" t="s">
        <v>247</v>
      </c>
      <c r="B92" s="35" t="s">
        <v>248</v>
      </c>
      <c r="C92" s="36" t="s">
        <v>58</v>
      </c>
      <c r="D92" s="37" t="s">
        <v>59</v>
      </c>
      <c r="E92" s="38" t="s">
        <v>37</v>
      </c>
      <c r="F92" s="39" t="n">
        <f aca="false">(0.9*2.1)+(1*0.6)+(0.6*2.1)+(0.8*2.1)</f>
        <v>5.43</v>
      </c>
      <c r="G92" s="40" t="n">
        <v>75.42</v>
      </c>
      <c r="H92" s="40" t="n">
        <v>67.29</v>
      </c>
      <c r="I92" s="40" t="n">
        <f aca="false">SUM(G92:H92)</f>
        <v>142.71</v>
      </c>
      <c r="J92" s="40" t="n">
        <f aca="false">G92*F92</f>
        <v>409.5306</v>
      </c>
      <c r="K92" s="40" t="n">
        <f aca="false">H92*F92</f>
        <v>365.3847</v>
      </c>
      <c r="L92" s="40" t="n">
        <f aca="false">I92*F92</f>
        <v>774.9153</v>
      </c>
      <c r="M92" s="40" t="n">
        <f aca="false">ROUND(L92*(1+$M$4),2)</f>
        <v>976.55</v>
      </c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</row>
    <row r="93" customFormat="false" ht="15" hidden="false" customHeight="false" outlineLevel="0" collapsed="false">
      <c r="A93" s="34" t="s">
        <v>249</v>
      </c>
      <c r="B93" s="35" t="s">
        <v>250</v>
      </c>
      <c r="C93" s="36" t="n">
        <v>87879</v>
      </c>
      <c r="D93" s="37" t="s">
        <v>63</v>
      </c>
      <c r="E93" s="38" t="s">
        <v>84</v>
      </c>
      <c r="F93" s="39" t="n">
        <f aca="false">(19.3*2.8)+(1*2.1*2)+(1.2*2.1*2)</f>
        <v>63.28</v>
      </c>
      <c r="G93" s="40" t="n">
        <v>2.11</v>
      </c>
      <c r="H93" s="40" t="n">
        <v>1.87</v>
      </c>
      <c r="I93" s="40" t="n">
        <f aca="false">G93+H93</f>
        <v>3.98</v>
      </c>
      <c r="J93" s="40" t="n">
        <f aca="false">G93*F93</f>
        <v>133.5208</v>
      </c>
      <c r="K93" s="40" t="n">
        <f aca="false">H93*F93</f>
        <v>118.3336</v>
      </c>
      <c r="L93" s="40" t="n">
        <f aca="false">J93+K93</f>
        <v>251.8544</v>
      </c>
      <c r="M93" s="40" t="n">
        <f aca="false">ROUND(L93*(1+$M$4),2)</f>
        <v>317.39</v>
      </c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</row>
    <row r="94" customFormat="false" ht="15" hidden="false" customHeight="false" outlineLevel="0" collapsed="false">
      <c r="A94" s="34" t="s">
        <v>251</v>
      </c>
      <c r="B94" s="35" t="s">
        <v>252</v>
      </c>
      <c r="C94" s="36" t="n">
        <v>87529</v>
      </c>
      <c r="D94" s="37" t="s">
        <v>67</v>
      </c>
      <c r="E94" s="38" t="s">
        <v>84</v>
      </c>
      <c r="F94" s="39" t="n">
        <f aca="false">F93</f>
        <v>63.28</v>
      </c>
      <c r="G94" s="40" t="n">
        <v>18.08</v>
      </c>
      <c r="H94" s="40" t="n">
        <v>15</v>
      </c>
      <c r="I94" s="40" t="n">
        <f aca="false">G94+H94</f>
        <v>33.08</v>
      </c>
      <c r="J94" s="40" t="n">
        <f aca="false">G94*F94</f>
        <v>1144.1024</v>
      </c>
      <c r="K94" s="40" t="n">
        <f aca="false">H94*F94</f>
        <v>949.2</v>
      </c>
      <c r="L94" s="40" t="n">
        <f aca="false">J94+K94</f>
        <v>2093.3024</v>
      </c>
      <c r="M94" s="40" t="n">
        <f aca="false">ROUND(L94*(1+$M$4),2)</f>
        <v>2637.98</v>
      </c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</row>
    <row r="95" customFormat="false" ht="15" hidden="false" customHeight="false" outlineLevel="0" collapsed="false">
      <c r="A95" s="34" t="s">
        <v>253</v>
      </c>
      <c r="B95" s="35" t="s">
        <v>155</v>
      </c>
      <c r="C95" s="36" t="s">
        <v>156</v>
      </c>
      <c r="D95" s="37" t="s">
        <v>157</v>
      </c>
      <c r="E95" s="38" t="s">
        <v>84</v>
      </c>
      <c r="F95" s="39" t="n">
        <f aca="false">38.08*2.8</f>
        <v>106.624</v>
      </c>
      <c r="G95" s="40" t="n">
        <v>2.06</v>
      </c>
      <c r="H95" s="40" t="n">
        <v>1.02</v>
      </c>
      <c r="I95" s="40" t="n">
        <f aca="false">G95+H95</f>
        <v>3.08</v>
      </c>
      <c r="J95" s="40" t="n">
        <f aca="false">G95*F95</f>
        <v>219.64544</v>
      </c>
      <c r="K95" s="40" t="n">
        <f aca="false">H95*F95</f>
        <v>108.75648</v>
      </c>
      <c r="L95" s="40" t="n">
        <f aca="false">J95+K95</f>
        <v>328.40192</v>
      </c>
      <c r="M95" s="40" t="n">
        <f aca="false">ROUND(L95*(1+$M$4),2)</f>
        <v>413.85</v>
      </c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</row>
    <row r="96" customFormat="false" ht="15" hidden="false" customHeight="false" outlineLevel="0" collapsed="false">
      <c r="A96" s="34" t="s">
        <v>254</v>
      </c>
      <c r="B96" s="35" t="s">
        <v>159</v>
      </c>
      <c r="C96" s="36" t="s">
        <v>78</v>
      </c>
      <c r="D96" s="37" t="s">
        <v>79</v>
      </c>
      <c r="E96" s="38" t="s">
        <v>84</v>
      </c>
      <c r="F96" s="39" t="n">
        <f aca="false">F95</f>
        <v>106.624</v>
      </c>
      <c r="G96" s="40" t="n">
        <v>10.56</v>
      </c>
      <c r="H96" s="40" t="n">
        <v>4.93</v>
      </c>
      <c r="I96" s="40" t="n">
        <f aca="false">G96+H96</f>
        <v>15.49</v>
      </c>
      <c r="J96" s="40" t="n">
        <f aca="false">G96*F96</f>
        <v>1125.94944</v>
      </c>
      <c r="K96" s="40" t="n">
        <f aca="false">H96*F96</f>
        <v>525.65632</v>
      </c>
      <c r="L96" s="40" t="n">
        <f aca="false">J96+K96</f>
        <v>1651.60576</v>
      </c>
      <c r="M96" s="40" t="n">
        <f aca="false">ROUND(L96*(1+$M$4),2)</f>
        <v>2081.35</v>
      </c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</row>
    <row r="97" customFormat="false" ht="15" hidden="false" customHeight="false" outlineLevel="0" collapsed="false">
      <c r="A97" s="34" t="s">
        <v>255</v>
      </c>
      <c r="B97" s="35" t="s">
        <v>224</v>
      </c>
      <c r="C97" s="36" t="s">
        <v>225</v>
      </c>
      <c r="D97" s="37" t="s">
        <v>226</v>
      </c>
      <c r="E97" s="38" t="s">
        <v>84</v>
      </c>
      <c r="F97" s="39" t="n">
        <f aca="false">(1.5*1.2)*2</f>
        <v>3.6</v>
      </c>
      <c r="G97" s="40" t="n">
        <v>371.2</v>
      </c>
      <c r="H97" s="40" t="n">
        <v>27.29</v>
      </c>
      <c r="I97" s="40" t="n">
        <f aca="false">G97+H97</f>
        <v>398.49</v>
      </c>
      <c r="J97" s="40" t="n">
        <f aca="false">G97*F97</f>
        <v>1336.32</v>
      </c>
      <c r="K97" s="40" t="n">
        <f aca="false">H97*F97</f>
        <v>98.244</v>
      </c>
      <c r="L97" s="40" t="n">
        <f aca="false">J97+K97</f>
        <v>1434.564</v>
      </c>
      <c r="M97" s="40" t="n">
        <f aca="false">ROUND(L97*(1+$M$4),2)</f>
        <v>1807.84</v>
      </c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</row>
    <row r="98" customFormat="false" ht="15" hidden="false" customHeight="false" outlineLevel="0" collapsed="false">
      <c r="A98" s="34" t="s">
        <v>256</v>
      </c>
      <c r="B98" s="35" t="s">
        <v>257</v>
      </c>
      <c r="C98" s="36" t="s">
        <v>258</v>
      </c>
      <c r="D98" s="37" t="s">
        <v>259</v>
      </c>
      <c r="E98" s="38" t="s">
        <v>93</v>
      </c>
      <c r="F98" s="39" t="n">
        <v>1</v>
      </c>
      <c r="G98" s="40" t="n">
        <v>948.72</v>
      </c>
      <c r="H98" s="40" t="n">
        <v>68.45</v>
      </c>
      <c r="I98" s="40" t="n">
        <f aca="false">G98+H98</f>
        <v>1017.17</v>
      </c>
      <c r="J98" s="40" t="n">
        <f aca="false">G98*F98</f>
        <v>948.72</v>
      </c>
      <c r="K98" s="40" t="n">
        <f aca="false">H98*F98</f>
        <v>68.45</v>
      </c>
      <c r="L98" s="40" t="n">
        <f aca="false">J98+K98</f>
        <v>1017.17</v>
      </c>
      <c r="M98" s="40" t="n">
        <f aca="false">ROUND(L98*(1+$M$4),2)</f>
        <v>1281.84</v>
      </c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</row>
    <row r="99" customFormat="false" ht="15" hidden="false" customHeight="false" outlineLevel="0" collapsed="false">
      <c r="A99" s="34" t="s">
        <v>260</v>
      </c>
      <c r="B99" s="35" t="s">
        <v>151</v>
      </c>
      <c r="C99" s="36" t="s">
        <v>152</v>
      </c>
      <c r="D99" s="37" t="s">
        <v>153</v>
      </c>
      <c r="E99" s="38" t="s">
        <v>84</v>
      </c>
      <c r="F99" s="39" t="n">
        <f aca="false">2*2.1</f>
        <v>4.2</v>
      </c>
      <c r="G99" s="40" t="n">
        <v>689.23</v>
      </c>
      <c r="H99" s="40" t="n">
        <v>7.99</v>
      </c>
      <c r="I99" s="40" t="n">
        <f aca="false">G99+H99</f>
        <v>697.22</v>
      </c>
      <c r="J99" s="40" t="n">
        <f aca="false">G99*F99</f>
        <v>2894.766</v>
      </c>
      <c r="K99" s="40" t="n">
        <f aca="false">H99*F99</f>
        <v>33.558</v>
      </c>
      <c r="L99" s="40" t="n">
        <f aca="false">J99+K99</f>
        <v>2928.324</v>
      </c>
      <c r="M99" s="40" t="n">
        <f aca="false">ROUND(L99*(1+$M$4),2)</f>
        <v>3690.27</v>
      </c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</row>
    <row r="100" customFormat="false" ht="15" hidden="false" customHeight="false" outlineLevel="0" collapsed="false">
      <c r="A100" s="34" t="s">
        <v>261</v>
      </c>
      <c r="B100" s="35" t="s">
        <v>176</v>
      </c>
      <c r="C100" s="36" t="s">
        <v>177</v>
      </c>
      <c r="D100" s="37" t="s">
        <v>178</v>
      </c>
      <c r="E100" s="38" t="s">
        <v>84</v>
      </c>
      <c r="F100" s="39" t="n">
        <v>1</v>
      </c>
      <c r="G100" s="40" t="n">
        <v>106.16</v>
      </c>
      <c r="H100" s="40" t="n">
        <v>17.03</v>
      </c>
      <c r="I100" s="40" t="n">
        <f aca="false">G100+H100</f>
        <v>123.19</v>
      </c>
      <c r="J100" s="40" t="n">
        <f aca="false">G100*F100</f>
        <v>106.16</v>
      </c>
      <c r="K100" s="40" t="n">
        <f aca="false">H100*F100</f>
        <v>17.03</v>
      </c>
      <c r="L100" s="40" t="n">
        <f aca="false">J100+K100</f>
        <v>123.19</v>
      </c>
      <c r="M100" s="40" t="n">
        <f aca="false">ROUND(L100*(1+$M$4),2)</f>
        <v>155.24</v>
      </c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</row>
    <row r="101" customFormat="false" ht="15" hidden="false" customHeight="true" outlineLevel="0" collapsed="false">
      <c r="A101" s="43" t="s">
        <v>262</v>
      </c>
      <c r="B101" s="44" t="s">
        <v>263</v>
      </c>
      <c r="C101" s="44"/>
      <c r="D101" s="51"/>
      <c r="E101" s="52"/>
      <c r="F101" s="53"/>
      <c r="G101" s="48"/>
      <c r="H101" s="48"/>
      <c r="I101" s="48"/>
      <c r="J101" s="48"/>
      <c r="K101" s="48"/>
      <c r="L101" s="48"/>
      <c r="M101" s="48"/>
      <c r="N101" s="56" t="n">
        <f aca="false">M101</f>
        <v>0</v>
      </c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57"/>
      <c r="AS101" s="57"/>
      <c r="AT101" s="57"/>
      <c r="AU101" s="57"/>
      <c r="AV101" s="57"/>
      <c r="AW101" s="57"/>
      <c r="AX101" s="57"/>
      <c r="AY101" s="57"/>
      <c r="AZ101" s="57"/>
    </row>
    <row r="102" customFormat="false" ht="15" hidden="false" customHeight="false" outlineLevel="0" collapsed="false">
      <c r="A102" s="34" t="s">
        <v>264</v>
      </c>
      <c r="B102" s="35" t="s">
        <v>265</v>
      </c>
      <c r="C102" s="36" t="s">
        <v>183</v>
      </c>
      <c r="D102" s="37" t="s">
        <v>184</v>
      </c>
      <c r="E102" s="38" t="s">
        <v>29</v>
      </c>
      <c r="F102" s="39" t="n">
        <v>0.5</v>
      </c>
      <c r="G102" s="40" t="n">
        <v>34.12</v>
      </c>
      <c r="H102" s="40" t="n">
        <v>80.56</v>
      </c>
      <c r="I102" s="40" t="n">
        <f aca="false">G102+H102</f>
        <v>114.68</v>
      </c>
      <c r="J102" s="40" t="n">
        <f aca="false">G102*F102</f>
        <v>17.06</v>
      </c>
      <c r="K102" s="40" t="n">
        <f aca="false">H102*F102</f>
        <v>40.28</v>
      </c>
      <c r="L102" s="40" t="n">
        <f aca="false">I102*F102</f>
        <v>57.34</v>
      </c>
      <c r="M102" s="40" t="n">
        <f aca="false">ROUND(L102*(1+$M$4),2)</f>
        <v>72.26</v>
      </c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</row>
    <row r="103" customFormat="false" ht="15" hidden="false" customHeight="false" outlineLevel="0" collapsed="false">
      <c r="A103" s="34" t="s">
        <v>266</v>
      </c>
      <c r="B103" s="35" t="s">
        <v>267</v>
      </c>
      <c r="C103" s="36" t="s">
        <v>197</v>
      </c>
      <c r="D103" s="37" t="s">
        <v>198</v>
      </c>
      <c r="E103" s="38" t="s">
        <v>84</v>
      </c>
      <c r="F103" s="39" t="n">
        <f aca="false">25.7+1.9</f>
        <v>27.6</v>
      </c>
      <c r="G103" s="40" t="n">
        <v>6.33</v>
      </c>
      <c r="H103" s="40" t="n">
        <v>16.07</v>
      </c>
      <c r="I103" s="40" t="n">
        <f aca="false">G103+H103</f>
        <v>22.4</v>
      </c>
      <c r="J103" s="40" t="n">
        <f aca="false">G103*F103</f>
        <v>174.708</v>
      </c>
      <c r="K103" s="40" t="n">
        <f aca="false">H103*F103</f>
        <v>443.532</v>
      </c>
      <c r="L103" s="40" t="n">
        <f aca="false">I103*F103</f>
        <v>618.24</v>
      </c>
      <c r="M103" s="40" t="n">
        <f aca="false">ROUND(L103*(1+$M$4),2)</f>
        <v>779.11</v>
      </c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</row>
    <row r="104" customFormat="false" ht="15" hidden="false" customHeight="false" outlineLevel="0" collapsed="false">
      <c r="A104" s="34" t="s">
        <v>268</v>
      </c>
      <c r="B104" s="35" t="s">
        <v>269</v>
      </c>
      <c r="C104" s="36" t="s">
        <v>197</v>
      </c>
      <c r="D104" s="37" t="s">
        <v>198</v>
      </c>
      <c r="E104" s="38" t="s">
        <v>84</v>
      </c>
      <c r="F104" s="39" t="n">
        <f aca="false">5.11*2.8</f>
        <v>14.308</v>
      </c>
      <c r="G104" s="40" t="n">
        <v>6.33</v>
      </c>
      <c r="H104" s="40" t="n">
        <v>16.07</v>
      </c>
      <c r="I104" s="40" t="n">
        <f aca="false">G104+H104</f>
        <v>22.4</v>
      </c>
      <c r="J104" s="40" t="n">
        <f aca="false">G104*F104</f>
        <v>90.56964</v>
      </c>
      <c r="K104" s="40" t="n">
        <f aca="false">H104*F104</f>
        <v>229.92956</v>
      </c>
      <c r="L104" s="40" t="n">
        <f aca="false">I104*F104</f>
        <v>320.4992</v>
      </c>
      <c r="M104" s="40" t="n">
        <f aca="false">ROUND(L104*(1+$M$4),2)</f>
        <v>403.89</v>
      </c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</row>
    <row r="105" customFormat="false" ht="15" hidden="false" customHeight="false" outlineLevel="0" collapsed="false">
      <c r="A105" s="34" t="s">
        <v>270</v>
      </c>
      <c r="B105" s="35" t="s">
        <v>271</v>
      </c>
      <c r="C105" s="36" t="s">
        <v>40</v>
      </c>
      <c r="D105" s="37" t="s">
        <v>41</v>
      </c>
      <c r="E105" s="38" t="s">
        <v>84</v>
      </c>
      <c r="F105" s="39" t="n">
        <f aca="false">((1.2+2.5)*0.8)+(1.2*0.6)</f>
        <v>3.68</v>
      </c>
      <c r="G105" s="40" t="n">
        <v>15.97</v>
      </c>
      <c r="H105" s="40" t="n">
        <v>18.3</v>
      </c>
      <c r="I105" s="40" t="n">
        <f aca="false">G105+H105</f>
        <v>34.27</v>
      </c>
      <c r="J105" s="40" t="n">
        <f aca="false">G105*F105</f>
        <v>58.7696</v>
      </c>
      <c r="K105" s="40" t="n">
        <f aca="false">H105*F105</f>
        <v>67.344</v>
      </c>
      <c r="L105" s="40" t="n">
        <f aca="false">I105*F105</f>
        <v>126.1136</v>
      </c>
      <c r="M105" s="40" t="n">
        <f aca="false">ROUND(L105*(1+$M$4),2)</f>
        <v>158.93</v>
      </c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</row>
    <row r="106" customFormat="false" ht="15" hidden="false" customHeight="false" outlineLevel="0" collapsed="false">
      <c r="A106" s="34" t="s">
        <v>272</v>
      </c>
      <c r="B106" s="35" t="s">
        <v>273</v>
      </c>
      <c r="C106" s="36" t="s">
        <v>274</v>
      </c>
      <c r="D106" s="37" t="s">
        <v>275</v>
      </c>
      <c r="E106" s="38" t="s">
        <v>14</v>
      </c>
      <c r="F106" s="39" t="n">
        <v>2</v>
      </c>
      <c r="G106" s="40" t="n">
        <v>3.27</v>
      </c>
      <c r="H106" s="40" t="n">
        <v>8.83</v>
      </c>
      <c r="I106" s="40" t="n">
        <f aca="false">G106+H106</f>
        <v>12.1</v>
      </c>
      <c r="J106" s="40" t="n">
        <f aca="false">G106*F106</f>
        <v>6.54</v>
      </c>
      <c r="K106" s="40" t="n">
        <f aca="false">H106*F106</f>
        <v>17.66</v>
      </c>
      <c r="L106" s="40" t="n">
        <f aca="false">I106*F106</f>
        <v>24.2</v>
      </c>
      <c r="M106" s="40" t="n">
        <f aca="false">ROUND(L106*(1+$M$4),2)</f>
        <v>30.5</v>
      </c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</row>
    <row r="107" customFormat="false" ht="15" hidden="false" customHeight="false" outlineLevel="0" collapsed="false">
      <c r="A107" s="34" t="s">
        <v>276</v>
      </c>
      <c r="B107" s="35" t="s">
        <v>277</v>
      </c>
      <c r="C107" s="36" t="s">
        <v>122</v>
      </c>
      <c r="D107" s="37" t="s">
        <v>123</v>
      </c>
      <c r="E107" s="38" t="s">
        <v>29</v>
      </c>
      <c r="F107" s="39" t="n">
        <f aca="false">(((1.1*0.9*2)+(0.9*2.1)+(1.47*2.8))*0.2)+(F110*0.2)</f>
        <v>2.6772</v>
      </c>
      <c r="G107" s="40" t="n">
        <v>16.61</v>
      </c>
      <c r="H107" s="40" t="n">
        <v>39.29</v>
      </c>
      <c r="I107" s="40" t="n">
        <f aca="false">G107+H107</f>
        <v>55.9</v>
      </c>
      <c r="J107" s="40" t="n">
        <f aca="false">G107*F107</f>
        <v>44.468292</v>
      </c>
      <c r="K107" s="40" t="n">
        <f aca="false">H107*F107</f>
        <v>105.187188</v>
      </c>
      <c r="L107" s="40" t="n">
        <f aca="false">I107*F107</f>
        <v>149.65548</v>
      </c>
      <c r="M107" s="40" t="n">
        <f aca="false">ROUND(L107*(1+$M$4),2)</f>
        <v>188.6</v>
      </c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</row>
    <row r="108" customFormat="false" ht="15" hidden="false" customHeight="false" outlineLevel="0" collapsed="false">
      <c r="A108" s="34" t="s">
        <v>278</v>
      </c>
      <c r="B108" s="35" t="s">
        <v>279</v>
      </c>
      <c r="C108" s="36" t="s">
        <v>140</v>
      </c>
      <c r="D108" s="37" t="s">
        <v>141</v>
      </c>
      <c r="E108" s="38" t="s">
        <v>29</v>
      </c>
      <c r="F108" s="39" t="n">
        <f aca="false">F103*0.03</f>
        <v>0.828</v>
      </c>
      <c r="G108" s="40" t="n">
        <v>432.73</v>
      </c>
      <c r="H108" s="40" t="n">
        <v>51.91</v>
      </c>
      <c r="I108" s="40" t="n">
        <f aca="false">G108+H108</f>
        <v>484.64</v>
      </c>
      <c r="J108" s="40" t="n">
        <f aca="false">G108*F108</f>
        <v>358.30044</v>
      </c>
      <c r="K108" s="40" t="n">
        <f aca="false">H108*F108</f>
        <v>42.98148</v>
      </c>
      <c r="L108" s="40" t="n">
        <f aca="false">I108*F108</f>
        <v>401.28192</v>
      </c>
      <c r="M108" s="40" t="n">
        <f aca="false">ROUND(L108*(1+$M$4),2)</f>
        <v>505.7</v>
      </c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</row>
    <row r="109" customFormat="false" ht="15" hidden="false" customHeight="false" outlineLevel="0" collapsed="false">
      <c r="A109" s="34" t="s">
        <v>280</v>
      </c>
      <c r="B109" s="35" t="s">
        <v>281</v>
      </c>
      <c r="C109" s="36" t="s">
        <v>282</v>
      </c>
      <c r="D109" s="37" t="s">
        <v>283</v>
      </c>
      <c r="E109" s="38" t="s">
        <v>37</v>
      </c>
      <c r="F109" s="39" t="n">
        <f aca="false">((1.35+3.12+2.75+1.65)*2.8)-(1.89+F111)</f>
        <v>19.586</v>
      </c>
      <c r="G109" s="40" t="n">
        <v>55.37</v>
      </c>
      <c r="H109" s="40" t="n">
        <v>64.35</v>
      </c>
      <c r="I109" s="40" t="n">
        <f aca="false">G109+H109</f>
        <v>119.72</v>
      </c>
      <c r="J109" s="40" t="n">
        <f aca="false">G109*F109</f>
        <v>1084.47682</v>
      </c>
      <c r="K109" s="40" t="n">
        <f aca="false">H109*F109</f>
        <v>1260.3591</v>
      </c>
      <c r="L109" s="40" t="n">
        <f aca="false">I109*F109</f>
        <v>2344.83592</v>
      </c>
      <c r="M109" s="40" t="n">
        <f aca="false">ROUND(L109*(1+$M$4),2)</f>
        <v>2954.96</v>
      </c>
      <c r="N109" s="41" t="n">
        <v>0</v>
      </c>
      <c r="O109" s="41" t="s">
        <v>284</v>
      </c>
      <c r="P109" s="41" t="n">
        <v>0</v>
      </c>
      <c r="Q109" s="41"/>
      <c r="R109" s="41" t="n">
        <v>0</v>
      </c>
      <c r="S109" s="41" t="s">
        <v>284</v>
      </c>
      <c r="T109" s="41" t="n">
        <v>0</v>
      </c>
      <c r="U109" s="41"/>
      <c r="V109" s="41" t="n">
        <v>0.5</v>
      </c>
      <c r="W109" s="41" t="s">
        <v>285</v>
      </c>
      <c r="X109" s="41" t="n">
        <v>0.5</v>
      </c>
      <c r="Y109" s="41"/>
      <c r="Z109" s="41"/>
      <c r="AA109" s="41" t="s">
        <v>284</v>
      </c>
      <c r="AB109" s="41" t="n">
        <v>0</v>
      </c>
      <c r="AC109" s="41"/>
      <c r="AD109" s="41"/>
      <c r="AE109" s="41" t="s">
        <v>284</v>
      </c>
      <c r="AF109" s="41" t="n">
        <v>0</v>
      </c>
      <c r="AG109" s="41"/>
      <c r="AH109" s="41"/>
      <c r="AI109" s="41" t="s">
        <v>284</v>
      </c>
      <c r="AJ109" s="42" t="n">
        <v>0</v>
      </c>
      <c r="AK109" s="42"/>
      <c r="AL109" s="42"/>
      <c r="AM109" s="42" t="s">
        <v>284</v>
      </c>
      <c r="AN109" s="42" t="n">
        <v>0</v>
      </c>
      <c r="AO109" s="42"/>
      <c r="AP109" s="42" t="n">
        <v>0.5</v>
      </c>
      <c r="AQ109" s="42" t="s">
        <v>285</v>
      </c>
      <c r="AR109" s="42" t="n">
        <v>0.5</v>
      </c>
      <c r="AS109" s="42"/>
      <c r="AT109" s="42" t="s">
        <v>286</v>
      </c>
      <c r="AU109" s="42" t="n">
        <v>1</v>
      </c>
      <c r="AV109" s="42"/>
      <c r="AW109" s="42"/>
      <c r="AX109" s="42" t="n">
        <v>1</v>
      </c>
      <c r="AY109" s="42" t="n">
        <v>0</v>
      </c>
      <c r="AZ109" s="42" t="s">
        <v>284</v>
      </c>
    </row>
    <row r="110" customFormat="false" ht="15" hidden="false" customHeight="false" outlineLevel="0" collapsed="false">
      <c r="A110" s="34" t="s">
        <v>287</v>
      </c>
      <c r="B110" s="35" t="s">
        <v>244</v>
      </c>
      <c r="C110" s="36" t="s">
        <v>130</v>
      </c>
      <c r="D110" s="37" t="s">
        <v>131</v>
      </c>
      <c r="E110" s="38" t="s">
        <v>132</v>
      </c>
      <c r="F110" s="39" t="n">
        <f aca="false">(1.3*2)+(1.4*2)</f>
        <v>5.4</v>
      </c>
      <c r="G110" s="40" t="n">
        <v>90.05</v>
      </c>
      <c r="H110" s="40" t="n">
        <v>21.87</v>
      </c>
      <c r="I110" s="40" t="n">
        <f aca="false">G110+H110</f>
        <v>111.92</v>
      </c>
      <c r="J110" s="40" t="n">
        <f aca="false">G110*F110</f>
        <v>486.27</v>
      </c>
      <c r="K110" s="40" t="n">
        <f aca="false">H110*F110</f>
        <v>118.098</v>
      </c>
      <c r="L110" s="40" t="n">
        <f aca="false">I110*F110</f>
        <v>604.368</v>
      </c>
      <c r="M110" s="40" t="n">
        <f aca="false">ROUND(L110*(1+$M$4),2)</f>
        <v>761.62</v>
      </c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1"/>
      <c r="AG110" s="41"/>
      <c r="AH110" s="41"/>
      <c r="AI110" s="41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</row>
    <row r="111" customFormat="false" ht="15" hidden="false" customHeight="false" outlineLevel="0" collapsed="false">
      <c r="A111" s="34" t="s">
        <v>288</v>
      </c>
      <c r="B111" s="35" t="s">
        <v>289</v>
      </c>
      <c r="C111" s="36" t="s">
        <v>290</v>
      </c>
      <c r="D111" s="37" t="s">
        <v>291</v>
      </c>
      <c r="E111" s="38" t="s">
        <v>84</v>
      </c>
      <c r="F111" s="39" t="n">
        <v>3.36</v>
      </c>
      <c r="G111" s="40" t="n">
        <f aca="false">COMPOSIÇÕES!H39</f>
        <v>164.48967</v>
      </c>
      <c r="H111" s="40" t="n">
        <f aca="false">COMPOSIÇÕES!I39</f>
        <v>64.25558</v>
      </c>
      <c r="I111" s="40" t="n">
        <f aca="false">G111+H111</f>
        <v>228.74525</v>
      </c>
      <c r="J111" s="40" t="n">
        <f aca="false">G111*F111</f>
        <v>552.6852912</v>
      </c>
      <c r="K111" s="40" t="n">
        <f aca="false">H111*F111</f>
        <v>215.8987488</v>
      </c>
      <c r="L111" s="40" t="n">
        <f aca="false">I111*F111</f>
        <v>768.58404</v>
      </c>
      <c r="M111" s="40" t="n">
        <f aca="false">ROUND(L111*(1+$M$4),2)</f>
        <v>968.57</v>
      </c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</row>
    <row r="112" customFormat="false" ht="15" hidden="false" customHeight="false" outlineLevel="0" collapsed="false">
      <c r="A112" s="34" t="s">
        <v>292</v>
      </c>
      <c r="B112" s="35" t="s">
        <v>293</v>
      </c>
      <c r="C112" s="36" t="s">
        <v>58</v>
      </c>
      <c r="D112" s="37" t="s">
        <v>59</v>
      </c>
      <c r="E112" s="38" t="s">
        <v>37</v>
      </c>
      <c r="F112" s="39" t="n">
        <f aca="false">F105</f>
        <v>3.68</v>
      </c>
      <c r="G112" s="40" t="n">
        <v>75.42</v>
      </c>
      <c r="H112" s="40" t="n">
        <v>67.29</v>
      </c>
      <c r="I112" s="40" t="n">
        <f aca="false">G112+H112</f>
        <v>142.71</v>
      </c>
      <c r="J112" s="40" t="n">
        <f aca="false">G112*F112</f>
        <v>277.5456</v>
      </c>
      <c r="K112" s="40" t="n">
        <f aca="false">H112*F112</f>
        <v>247.6272</v>
      </c>
      <c r="L112" s="40" t="n">
        <f aca="false">I112*F112</f>
        <v>525.1728</v>
      </c>
      <c r="M112" s="40" t="n">
        <f aca="false">ROUND(L112*(1+$M$4),2)</f>
        <v>661.82</v>
      </c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</row>
    <row r="113" customFormat="false" ht="15" hidden="false" customHeight="false" outlineLevel="0" collapsed="false">
      <c r="A113" s="34" t="s">
        <v>294</v>
      </c>
      <c r="B113" s="35" t="s">
        <v>250</v>
      </c>
      <c r="C113" s="36" t="n">
        <v>87879</v>
      </c>
      <c r="D113" s="37" t="s">
        <v>63</v>
      </c>
      <c r="E113" s="38" t="s">
        <v>84</v>
      </c>
      <c r="F113" s="39" t="n">
        <f aca="false">(F109*2)+(F112)+1.2+(0.6+2.1)+1.44+11.1</f>
        <v>59.292</v>
      </c>
      <c r="G113" s="40" t="n">
        <v>2.11</v>
      </c>
      <c r="H113" s="40" t="n">
        <v>1.87</v>
      </c>
      <c r="I113" s="40" t="n">
        <f aca="false">G113+H113</f>
        <v>3.98</v>
      </c>
      <c r="J113" s="40" t="n">
        <f aca="false">G113*F113</f>
        <v>125.10612</v>
      </c>
      <c r="K113" s="40" t="n">
        <f aca="false">H113*F113</f>
        <v>110.87604</v>
      </c>
      <c r="L113" s="40" t="n">
        <f aca="false">I113*F113</f>
        <v>235.98216</v>
      </c>
      <c r="M113" s="40" t="n">
        <f aca="false">ROUND(L113*(1+$M$4),2)</f>
        <v>297.38</v>
      </c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  <c r="AI113" s="41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</row>
    <row r="114" customFormat="false" ht="15" hidden="false" customHeight="false" outlineLevel="0" collapsed="false">
      <c r="A114" s="34" t="s">
        <v>295</v>
      </c>
      <c r="B114" s="35" t="s">
        <v>252</v>
      </c>
      <c r="C114" s="36" t="n">
        <v>87529</v>
      </c>
      <c r="D114" s="37" t="s">
        <v>67</v>
      </c>
      <c r="E114" s="38" t="s">
        <v>84</v>
      </c>
      <c r="F114" s="39" t="n">
        <f aca="false">F113</f>
        <v>59.292</v>
      </c>
      <c r="G114" s="40" t="n">
        <v>18.08</v>
      </c>
      <c r="H114" s="40" t="n">
        <v>15</v>
      </c>
      <c r="I114" s="40" t="n">
        <f aca="false">G114+H114</f>
        <v>33.08</v>
      </c>
      <c r="J114" s="40" t="n">
        <f aca="false">G114*F114</f>
        <v>1071.99936</v>
      </c>
      <c r="K114" s="40" t="n">
        <f aca="false">H114*F114</f>
        <v>889.38</v>
      </c>
      <c r="L114" s="40" t="n">
        <f aca="false">I114*F114</f>
        <v>1961.37936</v>
      </c>
      <c r="M114" s="40" t="n">
        <f aca="false">ROUND(L114*(1+$M$4),2)</f>
        <v>2471.73</v>
      </c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</row>
    <row r="115" customFormat="false" ht="15" hidden="false" customHeight="false" outlineLevel="0" collapsed="false">
      <c r="A115" s="34" t="s">
        <v>296</v>
      </c>
      <c r="B115" s="35" t="s">
        <v>297</v>
      </c>
      <c r="C115" s="36" t="s">
        <v>298</v>
      </c>
      <c r="D115" s="37" t="s">
        <v>299</v>
      </c>
      <c r="E115" s="38" t="s">
        <v>84</v>
      </c>
      <c r="F115" s="39" t="n">
        <v>16.7</v>
      </c>
      <c r="G115" s="40" t="n">
        <v>24.02</v>
      </c>
      <c r="H115" s="40" t="n">
        <v>12.16</v>
      </c>
      <c r="I115" s="40" t="n">
        <f aca="false">G115+H115</f>
        <v>36.18</v>
      </c>
      <c r="J115" s="40" t="n">
        <f aca="false">G115*F115</f>
        <v>401.134</v>
      </c>
      <c r="K115" s="40" t="n">
        <f aca="false">H115*F115</f>
        <v>203.072</v>
      </c>
      <c r="L115" s="40" t="n">
        <f aca="false">I115*F115</f>
        <v>604.206</v>
      </c>
      <c r="M115" s="40" t="n">
        <f aca="false">ROUND(L115*(1+$M$4),2)</f>
        <v>761.42</v>
      </c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/>
      <c r="AH115" s="41"/>
      <c r="AI115" s="41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</row>
    <row r="116" customFormat="false" ht="15" hidden="false" customHeight="false" outlineLevel="0" collapsed="false">
      <c r="A116" s="34" t="s">
        <v>300</v>
      </c>
      <c r="B116" s="35" t="s">
        <v>297</v>
      </c>
      <c r="C116" s="36" t="s">
        <v>301</v>
      </c>
      <c r="D116" s="37" t="s">
        <v>302</v>
      </c>
      <c r="E116" s="38" t="s">
        <v>84</v>
      </c>
      <c r="F116" s="39" t="n">
        <f aca="false">F115</f>
        <v>16.7</v>
      </c>
      <c r="G116" s="40" t="n">
        <v>12.08</v>
      </c>
      <c r="H116" s="40" t="n">
        <f aca="false">I116-G116</f>
        <v>4.68</v>
      </c>
      <c r="I116" s="40" t="n">
        <v>16.76</v>
      </c>
      <c r="J116" s="40" t="n">
        <f aca="false">G116*F116</f>
        <v>201.736</v>
      </c>
      <c r="K116" s="40" t="n">
        <f aca="false">H116*F116</f>
        <v>78.156</v>
      </c>
      <c r="L116" s="40" t="n">
        <f aca="false">I116*F116</f>
        <v>279.892</v>
      </c>
      <c r="M116" s="40" t="n">
        <f aca="false">ROUND(L116*(1+$M$4),2)</f>
        <v>352.72</v>
      </c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</row>
    <row r="117" customFormat="false" ht="15" hidden="false" customHeight="false" outlineLevel="0" collapsed="false">
      <c r="A117" s="34" t="s">
        <v>303</v>
      </c>
      <c r="B117" s="35" t="s">
        <v>304</v>
      </c>
      <c r="C117" s="36" t="s">
        <v>144</v>
      </c>
      <c r="D117" s="37" t="s">
        <v>145</v>
      </c>
      <c r="E117" s="38" t="s">
        <v>84</v>
      </c>
      <c r="F117" s="39" t="n">
        <f aca="false">3.25+4.2</f>
        <v>7.45</v>
      </c>
      <c r="G117" s="40" t="n">
        <v>40.64</v>
      </c>
      <c r="H117" s="40" t="n">
        <v>7.65</v>
      </c>
      <c r="I117" s="40" t="n">
        <f aca="false">G117+H117</f>
        <v>48.29</v>
      </c>
      <c r="J117" s="40" t="n">
        <f aca="false">G117*F117</f>
        <v>302.768</v>
      </c>
      <c r="K117" s="40" t="n">
        <f aca="false">H117*F117</f>
        <v>56.9925</v>
      </c>
      <c r="L117" s="40" t="n">
        <f aca="false">I117*F117</f>
        <v>359.7605</v>
      </c>
      <c r="M117" s="40" t="n">
        <f aca="false">ROUND(L117*(1+$M$4),2)</f>
        <v>453.37</v>
      </c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41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</row>
    <row r="118" customFormat="false" ht="15" hidden="false" customHeight="false" outlineLevel="0" collapsed="false">
      <c r="A118" s="34" t="s">
        <v>305</v>
      </c>
      <c r="B118" s="35" t="s">
        <v>306</v>
      </c>
      <c r="C118" s="36" t="s">
        <v>307</v>
      </c>
      <c r="D118" s="37" t="s">
        <v>308</v>
      </c>
      <c r="E118" s="38" t="s">
        <v>84</v>
      </c>
      <c r="F118" s="39" t="n">
        <f aca="false">(4.2+3.25)*2.2</f>
        <v>16.39</v>
      </c>
      <c r="G118" s="40" t="n">
        <v>52.37</v>
      </c>
      <c r="H118" s="40" t="n">
        <v>28.75</v>
      </c>
      <c r="I118" s="40" t="n">
        <f aca="false">G118+H118</f>
        <v>81.12</v>
      </c>
      <c r="J118" s="40" t="n">
        <f aca="false">G118*F118</f>
        <v>858.3443</v>
      </c>
      <c r="K118" s="40" t="n">
        <f aca="false">H118*F118</f>
        <v>471.2125</v>
      </c>
      <c r="L118" s="40" t="n">
        <f aca="false">I118*F118</f>
        <v>1329.5568</v>
      </c>
      <c r="M118" s="40" t="n">
        <f aca="false">ROUND(L118*(1+$M$4),2)</f>
        <v>1675.51</v>
      </c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</row>
    <row r="119" customFormat="false" ht="15" hidden="false" customHeight="false" outlineLevel="0" collapsed="false">
      <c r="A119" s="34" t="s">
        <v>309</v>
      </c>
      <c r="B119" s="35" t="s">
        <v>155</v>
      </c>
      <c r="C119" s="36" t="s">
        <v>156</v>
      </c>
      <c r="D119" s="37" t="s">
        <v>157</v>
      </c>
      <c r="E119" s="38" t="s">
        <v>84</v>
      </c>
      <c r="F119" s="39" t="n">
        <v>88</v>
      </c>
      <c r="G119" s="40" t="n">
        <v>2.06</v>
      </c>
      <c r="H119" s="40" t="n">
        <v>1.02</v>
      </c>
      <c r="I119" s="40" t="n">
        <f aca="false">G119+H119</f>
        <v>3.08</v>
      </c>
      <c r="J119" s="40" t="n">
        <f aca="false">G119*F119</f>
        <v>181.28</v>
      </c>
      <c r="K119" s="40" t="n">
        <f aca="false">H119*F119</f>
        <v>89.76</v>
      </c>
      <c r="L119" s="40" t="n">
        <f aca="false">I119*F119</f>
        <v>271.04</v>
      </c>
      <c r="M119" s="40" t="n">
        <f aca="false">ROUND(L119*(1+$M$4),2)</f>
        <v>341.56</v>
      </c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41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</row>
    <row r="120" customFormat="false" ht="15" hidden="false" customHeight="false" outlineLevel="0" collapsed="false">
      <c r="A120" s="34" t="s">
        <v>310</v>
      </c>
      <c r="B120" s="35" t="s">
        <v>159</v>
      </c>
      <c r="C120" s="36" t="s">
        <v>78</v>
      </c>
      <c r="D120" s="37" t="s">
        <v>79</v>
      </c>
      <c r="E120" s="38" t="s">
        <v>84</v>
      </c>
      <c r="F120" s="39" t="n">
        <v>88</v>
      </c>
      <c r="G120" s="40" t="n">
        <v>10.56</v>
      </c>
      <c r="H120" s="40" t="n">
        <v>4.93</v>
      </c>
      <c r="I120" s="40" t="n">
        <f aca="false">G120+H120</f>
        <v>15.49</v>
      </c>
      <c r="J120" s="40" t="n">
        <f aca="false">G120*F120</f>
        <v>929.28</v>
      </c>
      <c r="K120" s="40" t="n">
        <f aca="false">H120*F120</f>
        <v>433.84</v>
      </c>
      <c r="L120" s="40" t="n">
        <f aca="false">I120*F120</f>
        <v>1363.12</v>
      </c>
      <c r="M120" s="40" t="n">
        <f aca="false">ROUND(L120*(1+$M$4),2)</f>
        <v>1717.8</v>
      </c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</row>
    <row r="121" customFormat="false" ht="15" hidden="false" customHeight="false" outlineLevel="0" collapsed="false">
      <c r="A121" s="34" t="s">
        <v>311</v>
      </c>
      <c r="B121" s="35" t="s">
        <v>312</v>
      </c>
      <c r="C121" s="36" t="s">
        <v>313</v>
      </c>
      <c r="D121" s="37" t="s">
        <v>314</v>
      </c>
      <c r="E121" s="38" t="s">
        <v>84</v>
      </c>
      <c r="F121" s="39" t="n">
        <v>19.3</v>
      </c>
      <c r="G121" s="40" t="n">
        <v>10.56</v>
      </c>
      <c r="H121" s="40" t="n">
        <v>4.93</v>
      </c>
      <c r="I121" s="40" t="n">
        <f aca="false">G121+H121</f>
        <v>15.49</v>
      </c>
      <c r="J121" s="40" t="n">
        <f aca="false">G121*F121</f>
        <v>203.808</v>
      </c>
      <c r="K121" s="40" t="n">
        <f aca="false">H121*F121</f>
        <v>95.149</v>
      </c>
      <c r="L121" s="40" t="n">
        <f aca="false">I121*F121</f>
        <v>298.957</v>
      </c>
      <c r="M121" s="40" t="n">
        <f aca="false">ROUND(L121*(1+$M$4),2)</f>
        <v>376.75</v>
      </c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F121" s="41"/>
      <c r="AG121" s="41"/>
      <c r="AH121" s="41"/>
      <c r="AI121" s="41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</row>
    <row r="122" customFormat="false" ht="15" hidden="false" customHeight="false" outlineLevel="0" collapsed="false">
      <c r="A122" s="34" t="s">
        <v>315</v>
      </c>
      <c r="B122" s="35" t="s">
        <v>316</v>
      </c>
      <c r="C122" s="36" t="s">
        <v>317</v>
      </c>
      <c r="D122" s="37" t="s">
        <v>318</v>
      </c>
      <c r="E122" s="38" t="s">
        <v>84</v>
      </c>
      <c r="F122" s="39" t="n">
        <f aca="false">F121</f>
        <v>19.3</v>
      </c>
      <c r="G122" s="40" t="n">
        <v>10.56</v>
      </c>
      <c r="H122" s="40" t="n">
        <v>4.93</v>
      </c>
      <c r="I122" s="40" t="n">
        <f aca="false">G122+H122</f>
        <v>15.49</v>
      </c>
      <c r="J122" s="40" t="n">
        <f aca="false">G122*F122</f>
        <v>203.808</v>
      </c>
      <c r="K122" s="40" t="n">
        <f aca="false">H122*F122</f>
        <v>95.149</v>
      </c>
      <c r="L122" s="40" t="n">
        <f aca="false">I122*F122</f>
        <v>298.957</v>
      </c>
      <c r="M122" s="40" t="n">
        <f aca="false">ROUND(L122*(1+$M$4),2)</f>
        <v>376.75</v>
      </c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  <c r="AI122" s="41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</row>
    <row r="123" customFormat="false" ht="15" hidden="false" customHeight="false" outlineLevel="0" collapsed="false">
      <c r="A123" s="34" t="s">
        <v>319</v>
      </c>
      <c r="B123" s="35" t="s">
        <v>320</v>
      </c>
      <c r="C123" s="36" t="s">
        <v>321</v>
      </c>
      <c r="D123" s="37" t="s">
        <v>322</v>
      </c>
      <c r="E123" s="38" t="s">
        <v>84</v>
      </c>
      <c r="F123" s="39" t="n">
        <f aca="false">F122</f>
        <v>19.3</v>
      </c>
      <c r="G123" s="40" t="n">
        <v>10.56</v>
      </c>
      <c r="H123" s="40" t="n">
        <v>4.93</v>
      </c>
      <c r="I123" s="40" t="n">
        <f aca="false">G123+H123</f>
        <v>15.49</v>
      </c>
      <c r="J123" s="40" t="n">
        <f aca="false">G123*F123</f>
        <v>203.808</v>
      </c>
      <c r="K123" s="40" t="n">
        <f aca="false">H123*F123</f>
        <v>95.149</v>
      </c>
      <c r="L123" s="40" t="n">
        <f aca="false">I123*F123</f>
        <v>298.957</v>
      </c>
      <c r="M123" s="40" t="n">
        <f aca="false">ROUND(L123*(1+$M$4),2)</f>
        <v>376.75</v>
      </c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</row>
    <row r="124" customFormat="false" ht="15" hidden="false" customHeight="false" outlineLevel="0" collapsed="false">
      <c r="A124" s="34" t="s">
        <v>323</v>
      </c>
      <c r="B124" s="35" t="s">
        <v>324</v>
      </c>
      <c r="C124" s="36" t="s">
        <v>325</v>
      </c>
      <c r="D124" s="37" t="s">
        <v>326</v>
      </c>
      <c r="E124" s="38" t="s">
        <v>84</v>
      </c>
      <c r="F124" s="39" t="n">
        <f aca="false">(1*0.8)*2</f>
        <v>1.6</v>
      </c>
      <c r="G124" s="40" t="n">
        <v>615.24</v>
      </c>
      <c r="H124" s="40" t="n">
        <v>48.53</v>
      </c>
      <c r="I124" s="40" t="n">
        <f aca="false">G124+H124</f>
        <v>663.77</v>
      </c>
      <c r="J124" s="40" t="n">
        <f aca="false">G124*F124</f>
        <v>984.384</v>
      </c>
      <c r="K124" s="40" t="n">
        <f aca="false">H124*F124</f>
        <v>77.648</v>
      </c>
      <c r="L124" s="40" t="n">
        <f aca="false">I124*F124</f>
        <v>1062.032</v>
      </c>
      <c r="M124" s="40" t="n">
        <f aca="false">ROUND(L124*(1+$M$4),2)</f>
        <v>1338.37</v>
      </c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</row>
    <row r="125" customFormat="false" ht="15" hidden="false" customHeight="false" outlineLevel="0" collapsed="false">
      <c r="A125" s="34" t="s">
        <v>327</v>
      </c>
      <c r="B125" s="35" t="s">
        <v>328</v>
      </c>
      <c r="C125" s="36" t="s">
        <v>329</v>
      </c>
      <c r="D125" s="37" t="s">
        <v>330</v>
      </c>
      <c r="E125" s="38" t="s">
        <v>14</v>
      </c>
      <c r="F125" s="39" t="n">
        <v>2</v>
      </c>
      <c r="G125" s="40" t="n">
        <v>633.05</v>
      </c>
      <c r="H125" s="40" t="n">
        <v>69.32</v>
      </c>
      <c r="I125" s="40" t="n">
        <f aca="false">G125+H125</f>
        <v>702.37</v>
      </c>
      <c r="J125" s="40" t="n">
        <f aca="false">G125*F125</f>
        <v>1266.1</v>
      </c>
      <c r="K125" s="40" t="n">
        <f aca="false">H125*F125</f>
        <v>138.64</v>
      </c>
      <c r="L125" s="40" t="n">
        <f aca="false">I125*F125</f>
        <v>1404.74</v>
      </c>
      <c r="M125" s="40" t="n">
        <f aca="false">ROUND(L125*(1+$M$4),2)</f>
        <v>1770.25</v>
      </c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</row>
    <row r="126" customFormat="false" ht="15" hidden="false" customHeight="false" outlineLevel="0" collapsed="false">
      <c r="A126" s="34" t="s">
        <v>331</v>
      </c>
      <c r="B126" s="35" t="s">
        <v>147</v>
      </c>
      <c r="C126" s="36" t="s">
        <v>148</v>
      </c>
      <c r="D126" s="37" t="s">
        <v>149</v>
      </c>
      <c r="E126" s="38" t="s">
        <v>93</v>
      </c>
      <c r="F126" s="39" t="n">
        <v>2</v>
      </c>
      <c r="G126" s="40" t="n">
        <v>72.49</v>
      </c>
      <c r="H126" s="40" t="n">
        <v>20.8</v>
      </c>
      <c r="I126" s="40" t="n">
        <f aca="false">G126+H126</f>
        <v>93.29</v>
      </c>
      <c r="J126" s="40" t="n">
        <f aca="false">G126*F126</f>
        <v>144.98</v>
      </c>
      <c r="K126" s="40" t="n">
        <f aca="false">H126*F126</f>
        <v>41.6</v>
      </c>
      <c r="L126" s="40" t="n">
        <f aca="false">I126*F126</f>
        <v>186.58</v>
      </c>
      <c r="M126" s="40" t="n">
        <f aca="false">ROUND(L126*(1+$M$4),2)</f>
        <v>235.13</v>
      </c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F126" s="41"/>
      <c r="AG126" s="41"/>
      <c r="AH126" s="41"/>
      <c r="AI126" s="41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</row>
    <row r="127" customFormat="false" ht="15" hidden="false" customHeight="false" outlineLevel="0" collapsed="false">
      <c r="A127" s="34" t="s">
        <v>332</v>
      </c>
      <c r="B127" s="35" t="s">
        <v>333</v>
      </c>
      <c r="C127" s="36" t="s">
        <v>334</v>
      </c>
      <c r="D127" s="37" t="s">
        <v>335</v>
      </c>
      <c r="E127" s="38" t="s">
        <v>93</v>
      </c>
      <c r="F127" s="39" t="n">
        <v>2</v>
      </c>
      <c r="G127" s="40" t="n">
        <v>421.09</v>
      </c>
      <c r="H127" s="40" t="n">
        <v>26.73</v>
      </c>
      <c r="I127" s="40" t="n">
        <f aca="false">G127+H127</f>
        <v>447.82</v>
      </c>
      <c r="J127" s="40" t="n">
        <f aca="false">G127*F127</f>
        <v>842.18</v>
      </c>
      <c r="K127" s="40" t="n">
        <f aca="false">H127*F127</f>
        <v>53.46</v>
      </c>
      <c r="L127" s="40" t="n">
        <f aca="false">I127*F127</f>
        <v>895.64</v>
      </c>
      <c r="M127" s="40" t="n">
        <f aca="false">ROUND(L127*(1+$M$4),2)</f>
        <v>1128.69</v>
      </c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G127" s="41"/>
      <c r="AH127" s="41"/>
      <c r="AI127" s="41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</row>
    <row r="128" customFormat="false" ht="15" hidden="false" customHeight="false" outlineLevel="0" collapsed="false">
      <c r="A128" s="34" t="s">
        <v>336</v>
      </c>
      <c r="B128" s="35" t="s">
        <v>337</v>
      </c>
      <c r="C128" s="36" t="s">
        <v>338</v>
      </c>
      <c r="D128" s="37" t="s">
        <v>339</v>
      </c>
      <c r="E128" s="38" t="s">
        <v>93</v>
      </c>
      <c r="F128" s="39" t="n">
        <v>2</v>
      </c>
      <c r="G128" s="40" t="n">
        <v>200.68</v>
      </c>
      <c r="H128" s="40" t="n">
        <v>23.86</v>
      </c>
      <c r="I128" s="40" t="n">
        <f aca="false">G128+H128</f>
        <v>224.54</v>
      </c>
      <c r="J128" s="40" t="n">
        <f aca="false">G128*F128</f>
        <v>401.36</v>
      </c>
      <c r="K128" s="40" t="n">
        <f aca="false">H128*F128</f>
        <v>47.72</v>
      </c>
      <c r="L128" s="40" t="n">
        <f aca="false">I128*F128</f>
        <v>449.08</v>
      </c>
      <c r="M128" s="40" t="n">
        <f aca="false">ROUND(L128*(1+$M$4),2)</f>
        <v>565.93</v>
      </c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F128" s="41"/>
      <c r="AG128" s="41"/>
      <c r="AH128" s="41"/>
      <c r="AI128" s="41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</row>
    <row r="129" customFormat="false" ht="15" hidden="false" customHeight="false" outlineLevel="0" collapsed="false">
      <c r="A129" s="34" t="s">
        <v>340</v>
      </c>
      <c r="B129" s="35" t="s">
        <v>341</v>
      </c>
      <c r="C129" s="36" t="s">
        <v>342</v>
      </c>
      <c r="D129" s="37" t="s">
        <v>343</v>
      </c>
      <c r="E129" s="38" t="s">
        <v>93</v>
      </c>
      <c r="F129" s="39" t="n">
        <v>2</v>
      </c>
      <c r="G129" s="40" t="n">
        <f aca="false">COMPOSIÇÕES!H16</f>
        <v>46.096</v>
      </c>
      <c r="H129" s="40" t="n">
        <f aca="false">COMPOSIÇÕES!I16</f>
        <v>4.455</v>
      </c>
      <c r="I129" s="40" t="n">
        <f aca="false">G129+H129</f>
        <v>50.551</v>
      </c>
      <c r="J129" s="40" t="n">
        <f aca="false">G129*F129</f>
        <v>92.192</v>
      </c>
      <c r="K129" s="40" t="n">
        <f aca="false">H129*F129</f>
        <v>8.91</v>
      </c>
      <c r="L129" s="40" t="n">
        <f aca="false">I129*F129</f>
        <v>101.102</v>
      </c>
      <c r="M129" s="40" t="n">
        <f aca="false">ROUND(L129*(1+$M$4),2)</f>
        <v>127.41</v>
      </c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  <c r="AI129" s="41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</row>
    <row r="130" customFormat="false" ht="15" hidden="false" customHeight="false" outlineLevel="0" collapsed="false">
      <c r="A130" s="34" t="s">
        <v>344</v>
      </c>
      <c r="B130" s="35" t="s">
        <v>345</v>
      </c>
      <c r="C130" s="36" t="s">
        <v>346</v>
      </c>
      <c r="D130" s="37" t="s">
        <v>347</v>
      </c>
      <c r="E130" s="38" t="s">
        <v>93</v>
      </c>
      <c r="F130" s="39" t="n">
        <v>2</v>
      </c>
      <c r="G130" s="40" t="n">
        <v>39.26</v>
      </c>
      <c r="H130" s="40" t="n">
        <v>3.92</v>
      </c>
      <c r="I130" s="40" t="n">
        <f aca="false">G130+H130</f>
        <v>43.18</v>
      </c>
      <c r="J130" s="40" t="n">
        <f aca="false">G130*F130</f>
        <v>78.52</v>
      </c>
      <c r="K130" s="40" t="n">
        <f aca="false">H130*F130</f>
        <v>7.84</v>
      </c>
      <c r="L130" s="40" t="n">
        <f aca="false">I130*F130</f>
        <v>86.36</v>
      </c>
      <c r="M130" s="40" t="n">
        <f aca="false">ROUND(L130*(1+$M$4),2)</f>
        <v>108.83</v>
      </c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F130" s="41"/>
      <c r="AG130" s="41"/>
      <c r="AH130" s="41"/>
      <c r="AI130" s="41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</row>
    <row r="131" customFormat="false" ht="15" hidden="false" customHeight="false" outlineLevel="0" collapsed="false">
      <c r="A131" s="34" t="s">
        <v>348</v>
      </c>
      <c r="B131" s="35" t="s">
        <v>349</v>
      </c>
      <c r="C131" s="36" t="s">
        <v>350</v>
      </c>
      <c r="D131" s="37" t="s">
        <v>351</v>
      </c>
      <c r="E131" s="38" t="s">
        <v>93</v>
      </c>
      <c r="F131" s="39" t="n">
        <v>2</v>
      </c>
      <c r="G131" s="40" t="n">
        <v>44.97</v>
      </c>
      <c r="H131" s="40" t="n">
        <v>8.1</v>
      </c>
      <c r="I131" s="40" t="n">
        <f aca="false">G131+H131</f>
        <v>53.07</v>
      </c>
      <c r="J131" s="40" t="n">
        <f aca="false">G131*F131</f>
        <v>89.94</v>
      </c>
      <c r="K131" s="40" t="n">
        <f aca="false">H131*F131</f>
        <v>16.2</v>
      </c>
      <c r="L131" s="40" t="n">
        <f aca="false">I131*F131</f>
        <v>106.14</v>
      </c>
      <c r="M131" s="40" t="n">
        <f aca="false">ROUND(L131*(1+$M$4),2)</f>
        <v>133.76</v>
      </c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F131" s="41"/>
      <c r="AG131" s="41"/>
      <c r="AH131" s="41"/>
      <c r="AI131" s="41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</row>
    <row r="132" customFormat="false" ht="15" hidden="false" customHeight="false" outlineLevel="0" collapsed="false">
      <c r="A132" s="34" t="s">
        <v>352</v>
      </c>
      <c r="B132" s="35" t="s">
        <v>353</v>
      </c>
      <c r="C132" s="36" t="s">
        <v>354</v>
      </c>
      <c r="D132" s="37" t="s">
        <v>355</v>
      </c>
      <c r="E132" s="38" t="s">
        <v>93</v>
      </c>
      <c r="F132" s="39" t="n">
        <v>2</v>
      </c>
      <c r="G132" s="40" t="n">
        <f aca="false">COMPOSIÇÕES!H21</f>
        <v>46.096</v>
      </c>
      <c r="H132" s="40" t="n">
        <f aca="false">COMPOSIÇÕES!I21</f>
        <v>4.455</v>
      </c>
      <c r="I132" s="40" t="n">
        <f aca="false">G132+H132</f>
        <v>50.551</v>
      </c>
      <c r="J132" s="40" t="n">
        <f aca="false">G132*F132</f>
        <v>92.192</v>
      </c>
      <c r="K132" s="40" t="n">
        <f aca="false">H132*F132</f>
        <v>8.91</v>
      </c>
      <c r="L132" s="40" t="n">
        <f aca="false">I132*F132</f>
        <v>101.102</v>
      </c>
      <c r="M132" s="40" t="n">
        <f aca="false">ROUND(L132*(1+$M$4),2)</f>
        <v>127.41</v>
      </c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F132" s="41"/>
      <c r="AG132" s="41"/>
      <c r="AH132" s="41"/>
      <c r="AI132" s="41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</row>
    <row r="133" customFormat="false" ht="15" hidden="false" customHeight="false" outlineLevel="0" collapsed="false">
      <c r="A133" s="34" t="s">
        <v>356</v>
      </c>
      <c r="B133" s="35" t="s">
        <v>357</v>
      </c>
      <c r="C133" s="36" t="s">
        <v>358</v>
      </c>
      <c r="D133" s="37" t="s">
        <v>359</v>
      </c>
      <c r="E133" s="38" t="s">
        <v>93</v>
      </c>
      <c r="F133" s="39" t="n">
        <v>2</v>
      </c>
      <c r="G133" s="40" t="n">
        <v>232.43</v>
      </c>
      <c r="H133" s="40" t="n">
        <v>24.31</v>
      </c>
      <c r="I133" s="40" t="n">
        <f aca="false">G133+H133</f>
        <v>256.74</v>
      </c>
      <c r="J133" s="40" t="n">
        <f aca="false">G133*F133</f>
        <v>464.86</v>
      </c>
      <c r="K133" s="40" t="n">
        <f aca="false">H133*F133</f>
        <v>48.62</v>
      </c>
      <c r="L133" s="40" t="n">
        <f aca="false">I133*F133</f>
        <v>513.48</v>
      </c>
      <c r="M133" s="40" t="n">
        <f aca="false">ROUND(L133*(1+$M$4),2)</f>
        <v>647.09</v>
      </c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F133" s="41"/>
      <c r="AG133" s="41"/>
      <c r="AH133" s="41"/>
      <c r="AI133" s="41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</row>
    <row r="134" customFormat="false" ht="15" hidden="false" customHeight="false" outlineLevel="0" collapsed="false">
      <c r="A134" s="34" t="s">
        <v>360</v>
      </c>
      <c r="B134" s="35" t="s">
        <v>361</v>
      </c>
      <c r="C134" s="36" t="s">
        <v>362</v>
      </c>
      <c r="D134" s="37" t="s">
        <v>363</v>
      </c>
      <c r="E134" s="38" t="s">
        <v>93</v>
      </c>
      <c r="F134" s="39" t="n">
        <v>1</v>
      </c>
      <c r="G134" s="40" t="n">
        <v>252.52</v>
      </c>
      <c r="H134" s="40" t="n">
        <v>24.31</v>
      </c>
      <c r="I134" s="40" t="n">
        <f aca="false">G134+H134</f>
        <v>276.83</v>
      </c>
      <c r="J134" s="40" t="n">
        <f aca="false">G134*F134</f>
        <v>252.52</v>
      </c>
      <c r="K134" s="40" t="n">
        <f aca="false">H134*F134</f>
        <v>24.31</v>
      </c>
      <c r="L134" s="40" t="n">
        <f aca="false">I134*F134</f>
        <v>276.83</v>
      </c>
      <c r="M134" s="40" t="n">
        <f aca="false">ROUND(L134*(1+$M$4),2)</f>
        <v>348.86</v>
      </c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F134" s="41"/>
      <c r="AG134" s="41"/>
      <c r="AH134" s="41"/>
      <c r="AI134" s="41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</row>
    <row r="135" customFormat="false" ht="15" hidden="false" customHeight="false" outlineLevel="0" collapsed="false">
      <c r="A135" s="34" t="s">
        <v>364</v>
      </c>
      <c r="B135" s="35" t="s">
        <v>365</v>
      </c>
      <c r="C135" s="36" t="s">
        <v>366</v>
      </c>
      <c r="D135" s="37" t="s">
        <v>367</v>
      </c>
      <c r="E135" s="38" t="s">
        <v>93</v>
      </c>
      <c r="F135" s="39" t="n">
        <v>2</v>
      </c>
      <c r="G135" s="40" t="n">
        <v>265.34</v>
      </c>
      <c r="H135" s="40" t="n">
        <v>24.31</v>
      </c>
      <c r="I135" s="40" t="n">
        <f aca="false">G135+H135</f>
        <v>289.65</v>
      </c>
      <c r="J135" s="40" t="n">
        <f aca="false">G135*F135</f>
        <v>530.68</v>
      </c>
      <c r="K135" s="40" t="n">
        <f aca="false">H135*F135</f>
        <v>48.62</v>
      </c>
      <c r="L135" s="40" t="n">
        <f aca="false">I135*F135</f>
        <v>579.3</v>
      </c>
      <c r="M135" s="40" t="n">
        <f aca="false">ROUND(L135*(1+$M$4),2)</f>
        <v>730.03</v>
      </c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1"/>
      <c r="AH135" s="41"/>
      <c r="AI135" s="41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</row>
    <row r="136" customFormat="false" ht="15" hidden="false" customHeight="false" outlineLevel="0" collapsed="false">
      <c r="A136" s="34" t="s">
        <v>368</v>
      </c>
      <c r="B136" s="35" t="s">
        <v>369</v>
      </c>
      <c r="C136" s="36" t="s">
        <v>370</v>
      </c>
      <c r="D136" s="37" t="s">
        <v>371</v>
      </c>
      <c r="E136" s="38" t="s">
        <v>84</v>
      </c>
      <c r="F136" s="39" t="n">
        <f aca="false">(0.5*0.8)*2</f>
        <v>0.8</v>
      </c>
      <c r="G136" s="40" t="n">
        <v>506.75</v>
      </c>
      <c r="H136" s="40" t="n">
        <f aca="false">I136-G136</f>
        <v>10.59</v>
      </c>
      <c r="I136" s="40" t="n">
        <v>517.34</v>
      </c>
      <c r="J136" s="40" t="n">
        <f aca="false">G136*F136</f>
        <v>405.4</v>
      </c>
      <c r="K136" s="40" t="n">
        <f aca="false">H136*F136</f>
        <v>8.47200000000003</v>
      </c>
      <c r="L136" s="40" t="n">
        <f aca="false">J136+K136</f>
        <v>413.872</v>
      </c>
      <c r="M136" s="40" t="n">
        <f aca="false">ROUND(L136*(1+$M$4),2)</f>
        <v>521.56</v>
      </c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41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</row>
    <row r="137" customFormat="false" ht="15" hidden="false" customHeight="false" outlineLevel="0" collapsed="false">
      <c r="A137" s="43" t="s">
        <v>372</v>
      </c>
      <c r="B137" s="44" t="s">
        <v>373</v>
      </c>
      <c r="C137" s="43"/>
      <c r="D137" s="51"/>
      <c r="E137" s="52"/>
      <c r="F137" s="53"/>
      <c r="G137" s="48"/>
      <c r="H137" s="48"/>
      <c r="I137" s="48"/>
      <c r="J137" s="48"/>
      <c r="K137" s="48"/>
      <c r="L137" s="48"/>
      <c r="M137" s="48"/>
      <c r="N137" s="58" t="n">
        <f aca="false">M137</f>
        <v>0</v>
      </c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  <c r="AO137" s="59"/>
      <c r="AP137" s="59"/>
      <c r="AQ137" s="59"/>
      <c r="AR137" s="59"/>
      <c r="AS137" s="59"/>
      <c r="AT137" s="59"/>
      <c r="AU137" s="59"/>
      <c r="AV137" s="59"/>
      <c r="AW137" s="59"/>
      <c r="AX137" s="59"/>
      <c r="AY137" s="59"/>
      <c r="AZ137" s="59"/>
    </row>
    <row r="138" customFormat="false" ht="15" hidden="false" customHeight="false" outlineLevel="0" collapsed="false">
      <c r="A138" s="34" t="s">
        <v>374</v>
      </c>
      <c r="B138" s="35" t="s">
        <v>190</v>
      </c>
      <c r="C138" s="36" t="s">
        <v>191</v>
      </c>
      <c r="D138" s="37" t="s">
        <v>192</v>
      </c>
      <c r="E138" s="38" t="s">
        <v>84</v>
      </c>
      <c r="F138" s="39" t="n">
        <f aca="false">2.46*2.8</f>
        <v>6.888</v>
      </c>
      <c r="G138" s="40" t="n">
        <v>0.72</v>
      </c>
      <c r="H138" s="40" t="n">
        <v>2.01</v>
      </c>
      <c r="I138" s="40" t="n">
        <f aca="false">G138+H138</f>
        <v>2.73</v>
      </c>
      <c r="J138" s="40" t="n">
        <f aca="false">G138*F138</f>
        <v>4.95936</v>
      </c>
      <c r="K138" s="40" t="n">
        <f aca="false">H138*F138</f>
        <v>13.84488</v>
      </c>
      <c r="L138" s="40" t="n">
        <f aca="false">J138+K138</f>
        <v>18.80424</v>
      </c>
      <c r="M138" s="40" t="n">
        <f aca="false">ROUND(L138*(1+$M$4),2)</f>
        <v>23.7</v>
      </c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41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</row>
    <row r="139" customFormat="false" ht="15" hidden="false" customHeight="false" outlineLevel="0" collapsed="false">
      <c r="A139" s="34" t="s">
        <v>375</v>
      </c>
      <c r="B139" s="35" t="s">
        <v>234</v>
      </c>
      <c r="C139" s="36" t="s">
        <v>44</v>
      </c>
      <c r="D139" s="37" t="s">
        <v>45</v>
      </c>
      <c r="E139" s="38" t="s">
        <v>84</v>
      </c>
      <c r="F139" s="39" t="n">
        <f aca="false">(0.9*2.1)+(0.8*2.1)</f>
        <v>3.57</v>
      </c>
      <c r="G139" s="40" t="n">
        <v>2.51</v>
      </c>
      <c r="H139" s="40" t="n">
        <v>6.63</v>
      </c>
      <c r="I139" s="40" t="n">
        <f aca="false">G139+H139</f>
        <v>9.14</v>
      </c>
      <c r="J139" s="40" t="n">
        <f aca="false">G139*F139</f>
        <v>8.9607</v>
      </c>
      <c r="K139" s="40" t="n">
        <f aca="false">H139*F139</f>
        <v>23.6691</v>
      </c>
      <c r="L139" s="40" t="n">
        <f aca="false">J139+K139</f>
        <v>32.6298</v>
      </c>
      <c r="M139" s="40" t="n">
        <f aca="false">ROUND(L139*(1+$M$4),2)</f>
        <v>41.12</v>
      </c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  <c r="AI139" s="41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</row>
    <row r="140" customFormat="false" ht="15" hidden="false" customHeight="false" outlineLevel="0" collapsed="false">
      <c r="A140" s="34" t="s">
        <v>376</v>
      </c>
      <c r="B140" s="35" t="s">
        <v>194</v>
      </c>
      <c r="C140" s="36" t="s">
        <v>118</v>
      </c>
      <c r="D140" s="37" t="s">
        <v>119</v>
      </c>
      <c r="E140" s="38" t="s">
        <v>84</v>
      </c>
      <c r="F140" s="39" t="n">
        <f aca="false">(35.2+2.6)-(0.8*2)</f>
        <v>36.2</v>
      </c>
      <c r="G140" s="40" t="n">
        <v>6.73</v>
      </c>
      <c r="H140" s="40" t="n">
        <v>17.56</v>
      </c>
      <c r="I140" s="40" t="n">
        <f aca="false">G140+H140</f>
        <v>24.29</v>
      </c>
      <c r="J140" s="40" t="n">
        <f aca="false">G140*F140</f>
        <v>243.626</v>
      </c>
      <c r="K140" s="40" t="n">
        <f aca="false">H140*F140</f>
        <v>635.672</v>
      </c>
      <c r="L140" s="40" t="n">
        <f aca="false">J140+K140</f>
        <v>879.298</v>
      </c>
      <c r="M140" s="40" t="n">
        <f aca="false">ROUND(L140*(1+$M$4),2)</f>
        <v>1108.09</v>
      </c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F140" s="41"/>
      <c r="AG140" s="41"/>
      <c r="AH140" s="41"/>
      <c r="AI140" s="41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</row>
    <row r="141" customFormat="false" ht="15" hidden="false" customHeight="false" outlineLevel="0" collapsed="false">
      <c r="A141" s="34" t="s">
        <v>377</v>
      </c>
      <c r="B141" s="35" t="s">
        <v>139</v>
      </c>
      <c r="C141" s="36" t="s">
        <v>140</v>
      </c>
      <c r="D141" s="37" t="s">
        <v>141</v>
      </c>
      <c r="E141" s="38" t="s">
        <v>29</v>
      </c>
      <c r="F141" s="39" t="n">
        <f aca="false">F142*0.03</f>
        <v>1.11</v>
      </c>
      <c r="G141" s="40" t="n">
        <v>432.73</v>
      </c>
      <c r="H141" s="40" t="n">
        <v>51.91</v>
      </c>
      <c r="I141" s="40" t="n">
        <f aca="false">G141+H141</f>
        <v>484.64</v>
      </c>
      <c r="J141" s="40" t="n">
        <f aca="false">G141*F141</f>
        <v>480.3303</v>
      </c>
      <c r="K141" s="40" t="n">
        <f aca="false">H141*F141</f>
        <v>57.6201</v>
      </c>
      <c r="L141" s="40" t="n">
        <f aca="false">J141+K141</f>
        <v>537.9504</v>
      </c>
      <c r="M141" s="40" t="n">
        <f aca="false">ROUND(L141*(1+$M$4),2)</f>
        <v>677.93</v>
      </c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F141" s="41"/>
      <c r="AG141" s="41"/>
      <c r="AH141" s="41"/>
      <c r="AI141" s="41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</row>
    <row r="142" customFormat="false" ht="15" hidden="false" customHeight="false" outlineLevel="0" collapsed="false">
      <c r="A142" s="34" t="s">
        <v>378</v>
      </c>
      <c r="B142" s="35" t="s">
        <v>143</v>
      </c>
      <c r="C142" s="36" t="s">
        <v>144</v>
      </c>
      <c r="D142" s="37" t="s">
        <v>145</v>
      </c>
      <c r="E142" s="38" t="s">
        <v>84</v>
      </c>
      <c r="F142" s="39" t="n">
        <f aca="false">(35.3+2.6)-0.9</f>
        <v>37</v>
      </c>
      <c r="G142" s="40" t="n">
        <v>40.64</v>
      </c>
      <c r="H142" s="40" t="n">
        <v>7.65</v>
      </c>
      <c r="I142" s="40" t="n">
        <f aca="false">G142+H142</f>
        <v>48.29</v>
      </c>
      <c r="J142" s="40" t="n">
        <f aca="false">G142*F142</f>
        <v>1503.68</v>
      </c>
      <c r="K142" s="40" t="n">
        <f aca="false">H142*F142</f>
        <v>283.05</v>
      </c>
      <c r="L142" s="40" t="n">
        <f aca="false">J142+K142</f>
        <v>1786.73</v>
      </c>
      <c r="M142" s="40" t="n">
        <f aca="false">ROUND(L142*(1+$M$4),2)</f>
        <v>2251.64</v>
      </c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F142" s="41"/>
      <c r="AG142" s="41"/>
      <c r="AH142" s="41"/>
      <c r="AI142" s="41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</row>
    <row r="143" customFormat="false" ht="15" hidden="false" customHeight="false" outlineLevel="0" collapsed="false">
      <c r="A143" s="34" t="s">
        <v>379</v>
      </c>
      <c r="B143" s="35" t="s">
        <v>250</v>
      </c>
      <c r="C143" s="36" t="n">
        <v>87879</v>
      </c>
      <c r="D143" s="37" t="s">
        <v>63</v>
      </c>
      <c r="E143" s="38" t="s">
        <v>84</v>
      </c>
      <c r="F143" s="39" t="n">
        <f aca="false">(1*2.1)</f>
        <v>2.1</v>
      </c>
      <c r="G143" s="40" t="n">
        <v>2.11</v>
      </c>
      <c r="H143" s="40" t="n">
        <v>1.87</v>
      </c>
      <c r="I143" s="40" t="n">
        <f aca="false">G143+H143</f>
        <v>3.98</v>
      </c>
      <c r="J143" s="40" t="n">
        <f aca="false">G143*F143</f>
        <v>4.431</v>
      </c>
      <c r="K143" s="40" t="n">
        <f aca="false">H143*F143</f>
        <v>3.927</v>
      </c>
      <c r="L143" s="40" t="n">
        <f aca="false">J143+K143</f>
        <v>8.358</v>
      </c>
      <c r="M143" s="40" t="n">
        <f aca="false">ROUND(L143*(1+$M$4),2)</f>
        <v>10.53</v>
      </c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F143" s="41"/>
      <c r="AG143" s="41"/>
      <c r="AH143" s="41"/>
      <c r="AI143" s="41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</row>
    <row r="144" customFormat="false" ht="15" hidden="false" customHeight="false" outlineLevel="0" collapsed="false">
      <c r="A144" s="34" t="s">
        <v>380</v>
      </c>
      <c r="B144" s="35" t="s">
        <v>252</v>
      </c>
      <c r="C144" s="36" t="n">
        <v>87529</v>
      </c>
      <c r="D144" s="37" t="s">
        <v>67</v>
      </c>
      <c r="E144" s="38" t="s">
        <v>84</v>
      </c>
      <c r="F144" s="39" t="n">
        <f aca="false">(1*2.1)</f>
        <v>2.1</v>
      </c>
      <c r="G144" s="40" t="n">
        <v>18.08</v>
      </c>
      <c r="H144" s="40" t="n">
        <v>15</v>
      </c>
      <c r="I144" s="40" t="n">
        <f aca="false">G144+H144</f>
        <v>33.08</v>
      </c>
      <c r="J144" s="40" t="n">
        <f aca="false">G144*F144</f>
        <v>37.968</v>
      </c>
      <c r="K144" s="40" t="n">
        <f aca="false">H144*F144</f>
        <v>31.5</v>
      </c>
      <c r="L144" s="40" t="n">
        <f aca="false">J144+K144</f>
        <v>69.468</v>
      </c>
      <c r="M144" s="40" t="n">
        <f aca="false">ROUND(L144*(1+$M$4),2)</f>
        <v>87.54</v>
      </c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F144" s="41"/>
      <c r="AG144" s="41"/>
      <c r="AH144" s="41"/>
      <c r="AI144" s="41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</row>
    <row r="145" customFormat="false" ht="15" hidden="false" customHeight="false" outlineLevel="0" collapsed="false">
      <c r="A145" s="34" t="s">
        <v>381</v>
      </c>
      <c r="B145" s="35" t="s">
        <v>155</v>
      </c>
      <c r="C145" s="36" t="s">
        <v>156</v>
      </c>
      <c r="D145" s="37" t="s">
        <v>157</v>
      </c>
      <c r="E145" s="38" t="s">
        <v>84</v>
      </c>
      <c r="F145" s="39" t="n">
        <f aca="false">(25.9*2.8)-4.2</f>
        <v>68.32</v>
      </c>
      <c r="G145" s="40" t="n">
        <v>2.06</v>
      </c>
      <c r="H145" s="40" t="n">
        <v>1.02</v>
      </c>
      <c r="I145" s="40" t="n">
        <f aca="false">G145+H145</f>
        <v>3.08</v>
      </c>
      <c r="J145" s="40" t="n">
        <f aca="false">G145*F145</f>
        <v>140.7392</v>
      </c>
      <c r="K145" s="40" t="n">
        <f aca="false">H145*F145</f>
        <v>69.6864</v>
      </c>
      <c r="L145" s="40" t="n">
        <f aca="false">J145+K145</f>
        <v>210.4256</v>
      </c>
      <c r="M145" s="40" t="n">
        <f aca="false">ROUND(L145*(1+$M$4),2)</f>
        <v>265.18</v>
      </c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</row>
    <row r="146" customFormat="false" ht="15" hidden="false" customHeight="false" outlineLevel="0" collapsed="false">
      <c r="A146" s="34" t="s">
        <v>382</v>
      </c>
      <c r="B146" s="35" t="s">
        <v>159</v>
      </c>
      <c r="C146" s="36" t="s">
        <v>78</v>
      </c>
      <c r="D146" s="37" t="s">
        <v>79</v>
      </c>
      <c r="E146" s="38" t="s">
        <v>84</v>
      </c>
      <c r="F146" s="39" t="n">
        <f aca="false">(25.9*2.8)-4.2</f>
        <v>68.32</v>
      </c>
      <c r="G146" s="40" t="n">
        <v>10.56</v>
      </c>
      <c r="H146" s="40" t="n">
        <v>4.93</v>
      </c>
      <c r="I146" s="40" t="n">
        <f aca="false">G146+H146</f>
        <v>15.49</v>
      </c>
      <c r="J146" s="40" t="n">
        <f aca="false">G146*F146</f>
        <v>721.4592</v>
      </c>
      <c r="K146" s="40" t="n">
        <f aca="false">H146*F146</f>
        <v>336.8176</v>
      </c>
      <c r="L146" s="40" t="n">
        <f aca="false">J146+K146</f>
        <v>1058.2768</v>
      </c>
      <c r="M146" s="40" t="n">
        <f aca="false">ROUND(L146*(1+$M$4),2)</f>
        <v>1333.64</v>
      </c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F146" s="41"/>
      <c r="AG146" s="41"/>
      <c r="AH146" s="41"/>
      <c r="AI146" s="41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</row>
    <row r="147" customFormat="false" ht="15" hidden="false" customHeight="false" outlineLevel="0" collapsed="false">
      <c r="A147" s="34" t="s">
        <v>383</v>
      </c>
      <c r="B147" s="35" t="s">
        <v>257</v>
      </c>
      <c r="C147" s="36" t="s">
        <v>258</v>
      </c>
      <c r="D147" s="37" t="s">
        <v>259</v>
      </c>
      <c r="E147" s="38" t="s">
        <v>93</v>
      </c>
      <c r="F147" s="39" t="n">
        <v>1</v>
      </c>
      <c r="G147" s="40" t="n">
        <v>948.72</v>
      </c>
      <c r="H147" s="40" t="n">
        <v>68.45</v>
      </c>
      <c r="I147" s="40" t="n">
        <f aca="false">G147+H147</f>
        <v>1017.17</v>
      </c>
      <c r="J147" s="40" t="n">
        <f aca="false">G147*F147</f>
        <v>948.72</v>
      </c>
      <c r="K147" s="40" t="n">
        <f aca="false">H147*F147</f>
        <v>68.45</v>
      </c>
      <c r="L147" s="40" t="n">
        <f aca="false">J147+K147</f>
        <v>1017.17</v>
      </c>
      <c r="M147" s="40" t="n">
        <f aca="false">ROUND(L147*(1+$M$4),2)</f>
        <v>1281.84</v>
      </c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F147" s="41"/>
      <c r="AG147" s="41"/>
      <c r="AH147" s="41"/>
      <c r="AI147" s="41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</row>
    <row r="148" customFormat="false" ht="15" hidden="false" customHeight="false" outlineLevel="0" collapsed="false">
      <c r="A148" s="34" t="s">
        <v>384</v>
      </c>
      <c r="B148" s="35" t="s">
        <v>161</v>
      </c>
      <c r="C148" s="36" t="s">
        <v>162</v>
      </c>
      <c r="D148" s="37" t="s">
        <v>83</v>
      </c>
      <c r="E148" s="38" t="s">
        <v>84</v>
      </c>
      <c r="F148" s="39" t="n">
        <f aca="false">F149</f>
        <v>4.8</v>
      </c>
      <c r="G148" s="40" t="n">
        <v>3.78</v>
      </c>
      <c r="H148" s="40" t="n">
        <v>6.26</v>
      </c>
      <c r="I148" s="40" t="n">
        <f aca="false">G148+H148</f>
        <v>10.04</v>
      </c>
      <c r="J148" s="40" t="n">
        <f aca="false">G148*F148</f>
        <v>18.144</v>
      </c>
      <c r="K148" s="40" t="n">
        <f aca="false">H148*F148</f>
        <v>30.048</v>
      </c>
      <c r="L148" s="40" t="n">
        <f aca="false">J148+K148</f>
        <v>48.192</v>
      </c>
      <c r="M148" s="40" t="n">
        <f aca="false">ROUND(L148*(1+$M$4),2)</f>
        <v>60.73</v>
      </c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F148" s="41"/>
      <c r="AG148" s="41"/>
      <c r="AH148" s="41"/>
      <c r="AI148" s="41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</row>
    <row r="149" customFormat="false" ht="15" hidden="false" customHeight="false" outlineLevel="0" collapsed="false">
      <c r="A149" s="34" t="s">
        <v>385</v>
      </c>
      <c r="B149" s="35" t="s">
        <v>168</v>
      </c>
      <c r="C149" s="36" t="s">
        <v>169</v>
      </c>
      <c r="D149" s="37" t="s">
        <v>170</v>
      </c>
      <c r="E149" s="38" t="s">
        <v>84</v>
      </c>
      <c r="F149" s="39" t="n">
        <f aca="false">(1.5*0.8)*4</f>
        <v>4.8</v>
      </c>
      <c r="G149" s="40" t="n">
        <v>10</v>
      </c>
      <c r="H149" s="40" t="n">
        <v>19.03</v>
      </c>
      <c r="I149" s="40" t="n">
        <f aca="false">G149+H149</f>
        <v>29.03</v>
      </c>
      <c r="J149" s="40" t="n">
        <f aca="false">G149*F149</f>
        <v>48</v>
      </c>
      <c r="K149" s="40" t="n">
        <f aca="false">H149*F149</f>
        <v>91.344</v>
      </c>
      <c r="L149" s="40" t="n">
        <f aca="false">J149+K149</f>
        <v>139.344</v>
      </c>
      <c r="M149" s="40" t="n">
        <f aca="false">ROUND(L149*(1+$M$4),2)</f>
        <v>175.6</v>
      </c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F149" s="41"/>
      <c r="AG149" s="41"/>
      <c r="AH149" s="41"/>
      <c r="AI149" s="41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</row>
    <row r="150" customFormat="false" ht="15" hidden="false" customHeight="false" outlineLevel="0" collapsed="false">
      <c r="A150" s="34" t="s">
        <v>386</v>
      </c>
      <c r="B150" s="35" t="s">
        <v>172</v>
      </c>
      <c r="C150" s="36" t="s">
        <v>173</v>
      </c>
      <c r="D150" s="37" t="s">
        <v>174</v>
      </c>
      <c r="E150" s="38" t="s">
        <v>84</v>
      </c>
      <c r="F150" s="39" t="n">
        <v>4.8</v>
      </c>
      <c r="G150" s="40" t="n">
        <v>201.39</v>
      </c>
      <c r="H150" s="40" t="n">
        <v>23.01</v>
      </c>
      <c r="I150" s="40" t="n">
        <f aca="false">G150+H150</f>
        <v>224.4</v>
      </c>
      <c r="J150" s="40" t="n">
        <f aca="false">G150*F150</f>
        <v>966.672</v>
      </c>
      <c r="K150" s="40" t="n">
        <f aca="false">H150*F150</f>
        <v>110.448</v>
      </c>
      <c r="L150" s="40" t="n">
        <f aca="false">J150+K150</f>
        <v>1077.12</v>
      </c>
      <c r="M150" s="40" t="n">
        <f aca="false">ROUND(L150*(1+$M$4),2)</f>
        <v>1357.39</v>
      </c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F150" s="41"/>
      <c r="AG150" s="41"/>
      <c r="AH150" s="41"/>
      <c r="AI150" s="41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</row>
    <row r="151" customFormat="false" ht="15" hidden="false" customHeight="false" outlineLevel="0" collapsed="false">
      <c r="A151" s="34" t="s">
        <v>387</v>
      </c>
      <c r="B151" s="35" t="s">
        <v>176</v>
      </c>
      <c r="C151" s="36" t="s">
        <v>177</v>
      </c>
      <c r="D151" s="37" t="s">
        <v>178</v>
      </c>
      <c r="E151" s="38" t="s">
        <v>84</v>
      </c>
      <c r="F151" s="39" t="n">
        <v>1</v>
      </c>
      <c r="G151" s="40" t="n">
        <v>106.16</v>
      </c>
      <c r="H151" s="40" t="n">
        <v>17.03</v>
      </c>
      <c r="I151" s="40" t="n">
        <f aca="false">G151+H151</f>
        <v>123.19</v>
      </c>
      <c r="J151" s="40" t="n">
        <f aca="false">G151*F151</f>
        <v>106.16</v>
      </c>
      <c r="K151" s="40" t="n">
        <f aca="false">H151*F151</f>
        <v>17.03</v>
      </c>
      <c r="L151" s="40" t="n">
        <f aca="false">J151+K151</f>
        <v>123.19</v>
      </c>
      <c r="M151" s="40" t="n">
        <f aca="false">ROUND(L151*(1+$M$4),2)</f>
        <v>155.24</v>
      </c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F151" s="41"/>
      <c r="AG151" s="41"/>
      <c r="AH151" s="41"/>
      <c r="AI151" s="41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</row>
    <row r="152" customFormat="false" ht="15" hidden="false" customHeight="true" outlineLevel="0" collapsed="false">
      <c r="A152" s="60" t="s">
        <v>388</v>
      </c>
      <c r="B152" s="61" t="s">
        <v>389</v>
      </c>
      <c r="C152" s="61"/>
      <c r="D152" s="62"/>
      <c r="E152" s="62"/>
      <c r="F152" s="63"/>
      <c r="G152" s="64"/>
      <c r="H152" s="64"/>
      <c r="I152" s="64"/>
      <c r="J152" s="31" t="n">
        <f aca="false">SUM(J154:J195)</f>
        <v>26036.78</v>
      </c>
      <c r="K152" s="31" t="n">
        <f aca="false">SUM(K154:K195)</f>
        <v>7321.09</v>
      </c>
      <c r="L152" s="31" t="n">
        <f aca="false">SUM(L154:L195)</f>
        <v>33357.87</v>
      </c>
      <c r="M152" s="31" t="n">
        <f aca="false">SUM(M154:M195)</f>
        <v>42037.59</v>
      </c>
      <c r="N152" s="65" t="n">
        <f aca="false">M152</f>
        <v>42037.59</v>
      </c>
      <c r="O152" s="66"/>
      <c r="P152" s="66"/>
      <c r="Q152" s="66"/>
      <c r="R152" s="66"/>
      <c r="S152" s="66"/>
      <c r="T152" s="66"/>
      <c r="U152" s="66"/>
      <c r="V152" s="66"/>
      <c r="W152" s="66"/>
      <c r="X152" s="66"/>
      <c r="Y152" s="66"/>
      <c r="Z152" s="66"/>
      <c r="AA152" s="66"/>
      <c r="AB152" s="66"/>
      <c r="AC152" s="66"/>
      <c r="AD152" s="66"/>
      <c r="AE152" s="66"/>
      <c r="AF152" s="66"/>
      <c r="AG152" s="66"/>
      <c r="AH152" s="66"/>
      <c r="AI152" s="66"/>
      <c r="AJ152" s="66"/>
      <c r="AK152" s="66"/>
      <c r="AL152" s="66"/>
      <c r="AM152" s="66"/>
      <c r="AN152" s="66"/>
      <c r="AO152" s="66"/>
      <c r="AP152" s="66"/>
      <c r="AQ152" s="66"/>
      <c r="AR152" s="66"/>
      <c r="AS152" s="66"/>
      <c r="AT152" s="66"/>
      <c r="AU152" s="66"/>
      <c r="AV152" s="66"/>
      <c r="AW152" s="66"/>
      <c r="AX152" s="66"/>
      <c r="AY152" s="66"/>
      <c r="AZ152" s="66"/>
    </row>
    <row r="153" customFormat="false" ht="15" hidden="false" customHeight="true" outlineLevel="0" collapsed="false">
      <c r="A153" s="67" t="s">
        <v>390</v>
      </c>
      <c r="B153" s="68" t="s">
        <v>391</v>
      </c>
      <c r="C153" s="68"/>
      <c r="D153" s="69"/>
      <c r="E153" s="70"/>
      <c r="F153" s="71"/>
      <c r="G153" s="72"/>
      <c r="H153" s="72"/>
      <c r="I153" s="72"/>
      <c r="J153" s="72"/>
      <c r="K153" s="72"/>
      <c r="L153" s="72"/>
      <c r="M153" s="72"/>
      <c r="N153" s="73"/>
      <c r="O153" s="73"/>
      <c r="P153" s="73"/>
      <c r="Q153" s="73"/>
      <c r="R153" s="73"/>
      <c r="S153" s="73"/>
      <c r="T153" s="73"/>
      <c r="U153" s="73"/>
      <c r="V153" s="73"/>
      <c r="W153" s="73"/>
      <c r="X153" s="73"/>
      <c r="Y153" s="73"/>
      <c r="Z153" s="73"/>
      <c r="AA153" s="73"/>
      <c r="AB153" s="73"/>
      <c r="AC153" s="73"/>
      <c r="AD153" s="73"/>
      <c r="AE153" s="73"/>
      <c r="AF153" s="73"/>
      <c r="AG153" s="73"/>
      <c r="AH153" s="73"/>
      <c r="AI153" s="73"/>
      <c r="AJ153" s="73"/>
      <c r="AK153" s="73"/>
      <c r="AL153" s="73"/>
      <c r="AM153" s="73"/>
      <c r="AN153" s="73"/>
      <c r="AO153" s="73"/>
      <c r="AP153" s="73"/>
      <c r="AQ153" s="73"/>
      <c r="AR153" s="73"/>
      <c r="AS153" s="73"/>
      <c r="AT153" s="73"/>
      <c r="AU153" s="73"/>
      <c r="AV153" s="73"/>
      <c r="AW153" s="73"/>
      <c r="AX153" s="73"/>
      <c r="AY153" s="73"/>
      <c r="AZ153" s="73"/>
    </row>
    <row r="154" customFormat="false" ht="15" hidden="false" customHeight="false" outlineLevel="0" collapsed="false">
      <c r="A154" s="34" t="s">
        <v>392</v>
      </c>
      <c r="B154" s="35" t="s">
        <v>393</v>
      </c>
      <c r="C154" s="36" t="s">
        <v>394</v>
      </c>
      <c r="D154" s="37" t="s">
        <v>395</v>
      </c>
      <c r="E154" s="38" t="s">
        <v>396</v>
      </c>
      <c r="F154" s="39" t="n">
        <v>600</v>
      </c>
      <c r="G154" s="40" t="n">
        <v>1.95</v>
      </c>
      <c r="H154" s="40" t="n">
        <v>0.91</v>
      </c>
      <c r="I154" s="40" t="n">
        <f aca="false">G154+H154</f>
        <v>2.86</v>
      </c>
      <c r="J154" s="40" t="n">
        <f aca="false">G154*F154</f>
        <v>1170</v>
      </c>
      <c r="K154" s="40" t="n">
        <f aca="false">H154*F154</f>
        <v>546</v>
      </c>
      <c r="L154" s="40" t="n">
        <f aca="false">J154+K154</f>
        <v>1716</v>
      </c>
      <c r="M154" s="40" t="n">
        <f aca="false">ROUND(L154*(1+$M$4),2)</f>
        <v>2162.5</v>
      </c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F154" s="41"/>
      <c r="AG154" s="41"/>
      <c r="AH154" s="41"/>
      <c r="AI154" s="41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</row>
    <row r="155" customFormat="false" ht="15" hidden="false" customHeight="false" outlineLevel="0" collapsed="false">
      <c r="A155" s="34" t="s">
        <v>397</v>
      </c>
      <c r="B155" s="35" t="s">
        <v>393</v>
      </c>
      <c r="C155" s="36" t="s">
        <v>398</v>
      </c>
      <c r="D155" s="37" t="s">
        <v>399</v>
      </c>
      <c r="E155" s="38" t="s">
        <v>396</v>
      </c>
      <c r="F155" s="39" t="n">
        <v>700</v>
      </c>
      <c r="G155" s="40" t="n">
        <v>2.97</v>
      </c>
      <c r="H155" s="40" t="n">
        <v>1.12</v>
      </c>
      <c r="I155" s="40" t="n">
        <f aca="false">G155+H155</f>
        <v>4.09</v>
      </c>
      <c r="J155" s="40" t="n">
        <f aca="false">G155*F155</f>
        <v>2079</v>
      </c>
      <c r="K155" s="40" t="n">
        <f aca="false">H155*F155</f>
        <v>784</v>
      </c>
      <c r="L155" s="40" t="n">
        <f aca="false">J155+K155</f>
        <v>2863</v>
      </c>
      <c r="M155" s="40" t="n">
        <f aca="false">ROUND(L155*(1+$M$4),2)</f>
        <v>3607.95</v>
      </c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F155" s="41"/>
      <c r="AG155" s="41"/>
      <c r="AH155" s="41"/>
      <c r="AI155" s="41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</row>
    <row r="156" customFormat="false" ht="15" hidden="false" customHeight="false" outlineLevel="0" collapsed="false">
      <c r="A156" s="34" t="s">
        <v>400</v>
      </c>
      <c r="B156" s="35" t="s">
        <v>393</v>
      </c>
      <c r="C156" s="36" t="s">
        <v>401</v>
      </c>
      <c r="D156" s="37" t="s">
        <v>402</v>
      </c>
      <c r="E156" s="38" t="s">
        <v>396</v>
      </c>
      <c r="F156" s="39" t="n">
        <v>280</v>
      </c>
      <c r="G156" s="40" t="n">
        <v>5.11</v>
      </c>
      <c r="H156" s="40" t="n">
        <v>1.48</v>
      </c>
      <c r="I156" s="40" t="n">
        <f aca="false">G156+H156</f>
        <v>6.59</v>
      </c>
      <c r="J156" s="40" t="n">
        <f aca="false">G156*F156</f>
        <v>1430.8</v>
      </c>
      <c r="K156" s="40" t="n">
        <f aca="false">H156*F156</f>
        <v>414.4</v>
      </c>
      <c r="L156" s="40" t="n">
        <f aca="false">J156+K156</f>
        <v>1845.2</v>
      </c>
      <c r="M156" s="40" t="n">
        <f aca="false">ROUND(L156*(1+$M$4),2)</f>
        <v>2325.32</v>
      </c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F156" s="41"/>
      <c r="AG156" s="41"/>
      <c r="AH156" s="41"/>
      <c r="AI156" s="41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</row>
    <row r="157" customFormat="false" ht="15" hidden="false" customHeight="false" outlineLevel="0" collapsed="false">
      <c r="A157" s="34" t="s">
        <v>403</v>
      </c>
      <c r="B157" s="35" t="s">
        <v>404</v>
      </c>
      <c r="C157" s="36" t="s">
        <v>405</v>
      </c>
      <c r="D157" s="37" t="s">
        <v>406</v>
      </c>
      <c r="E157" s="38" t="s">
        <v>396</v>
      </c>
      <c r="F157" s="39" t="n">
        <v>10</v>
      </c>
      <c r="G157" s="40" t="n">
        <v>14.58</v>
      </c>
      <c r="H157" s="40" t="n">
        <v>0.46</v>
      </c>
      <c r="I157" s="40" t="n">
        <f aca="false">G157+H157</f>
        <v>15.04</v>
      </c>
      <c r="J157" s="40" t="n">
        <f aca="false">G157*F157</f>
        <v>145.8</v>
      </c>
      <c r="K157" s="40" t="n">
        <f aca="false">H157*F157</f>
        <v>4.6</v>
      </c>
      <c r="L157" s="40" t="n">
        <f aca="false">J157+K157</f>
        <v>150.4</v>
      </c>
      <c r="M157" s="40" t="n">
        <f aca="false">ROUND(L157*(1+$M$4),2)</f>
        <v>189.53</v>
      </c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F157" s="41"/>
      <c r="AG157" s="41"/>
      <c r="AH157" s="41"/>
      <c r="AI157" s="41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</row>
    <row r="158" customFormat="false" ht="15" hidden="false" customHeight="false" outlineLevel="0" collapsed="false">
      <c r="A158" s="34" t="s">
        <v>407</v>
      </c>
      <c r="B158" s="35" t="s">
        <v>408</v>
      </c>
      <c r="C158" s="36" t="s">
        <v>405</v>
      </c>
      <c r="D158" s="37" t="s">
        <v>406</v>
      </c>
      <c r="E158" s="38" t="s">
        <v>396</v>
      </c>
      <c r="F158" s="39" t="n">
        <v>50</v>
      </c>
      <c r="G158" s="40" t="n">
        <v>14.58</v>
      </c>
      <c r="H158" s="40" t="n">
        <v>0.46</v>
      </c>
      <c r="I158" s="40" t="n">
        <f aca="false">G158+H158</f>
        <v>15.04</v>
      </c>
      <c r="J158" s="40" t="n">
        <f aca="false">G158*F158</f>
        <v>729</v>
      </c>
      <c r="K158" s="40" t="n">
        <f aca="false">H158*F158</f>
        <v>23</v>
      </c>
      <c r="L158" s="40" t="n">
        <f aca="false">J158+K158</f>
        <v>752</v>
      </c>
      <c r="M158" s="40" t="n">
        <f aca="false">ROUND(L158*(1+$M$4),2)</f>
        <v>947.67</v>
      </c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F158" s="41"/>
      <c r="AG158" s="41"/>
      <c r="AH158" s="41"/>
      <c r="AI158" s="41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</row>
    <row r="159" customFormat="false" ht="15" hidden="false" customHeight="false" outlineLevel="0" collapsed="false">
      <c r="A159" s="34" t="s">
        <v>409</v>
      </c>
      <c r="B159" s="35" t="s">
        <v>410</v>
      </c>
      <c r="C159" s="36" t="s">
        <v>411</v>
      </c>
      <c r="D159" s="37" t="s">
        <v>412</v>
      </c>
      <c r="E159" s="38" t="s">
        <v>396</v>
      </c>
      <c r="F159" s="39" t="n">
        <v>100</v>
      </c>
      <c r="G159" s="40" t="n">
        <v>11.88</v>
      </c>
      <c r="H159" s="40" t="n">
        <v>2.87</v>
      </c>
      <c r="I159" s="40" t="n">
        <f aca="false">G159+H159</f>
        <v>14.75</v>
      </c>
      <c r="J159" s="40" t="n">
        <f aca="false">G159*F159</f>
        <v>1188</v>
      </c>
      <c r="K159" s="40" t="n">
        <f aca="false">H159*F159</f>
        <v>287</v>
      </c>
      <c r="L159" s="40" t="n">
        <f aca="false">J159+K159</f>
        <v>1475</v>
      </c>
      <c r="M159" s="40" t="n">
        <f aca="false">ROUND(L159*(1+$M$4),2)</f>
        <v>1858.8</v>
      </c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F159" s="41"/>
      <c r="AG159" s="41"/>
      <c r="AH159" s="41"/>
      <c r="AI159" s="41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</row>
    <row r="160" customFormat="false" ht="15" hidden="false" customHeight="false" outlineLevel="0" collapsed="false">
      <c r="A160" s="34" t="s">
        <v>413</v>
      </c>
      <c r="B160" s="35" t="s">
        <v>414</v>
      </c>
      <c r="C160" s="36" t="s">
        <v>415</v>
      </c>
      <c r="D160" s="37" t="s">
        <v>416</v>
      </c>
      <c r="E160" s="38" t="s">
        <v>14</v>
      </c>
      <c r="F160" s="39" t="n">
        <v>13</v>
      </c>
      <c r="G160" s="40" t="n">
        <v>17.88</v>
      </c>
      <c r="H160" s="40" t="n">
        <v>11.09</v>
      </c>
      <c r="I160" s="40" t="n">
        <f aca="false">G160+H160</f>
        <v>28.97</v>
      </c>
      <c r="J160" s="40" t="n">
        <f aca="false">G160*F160</f>
        <v>232.44</v>
      </c>
      <c r="K160" s="40" t="n">
        <f aca="false">H160*F160</f>
        <v>144.17</v>
      </c>
      <c r="L160" s="40" t="n">
        <f aca="false">J160+K160</f>
        <v>376.61</v>
      </c>
      <c r="M160" s="40" t="n">
        <f aca="false">ROUND(L160*(1+$M$4),2)</f>
        <v>474.6</v>
      </c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F160" s="41"/>
      <c r="AG160" s="41"/>
      <c r="AH160" s="41"/>
      <c r="AI160" s="41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</row>
    <row r="161" customFormat="false" ht="15" hidden="false" customHeight="false" outlineLevel="0" collapsed="false">
      <c r="A161" s="34" t="s">
        <v>417</v>
      </c>
      <c r="B161" s="35" t="s">
        <v>418</v>
      </c>
      <c r="C161" s="36" t="s">
        <v>419</v>
      </c>
      <c r="D161" s="37" t="s">
        <v>420</v>
      </c>
      <c r="E161" s="38" t="s">
        <v>14</v>
      </c>
      <c r="F161" s="39" t="n">
        <v>32</v>
      </c>
      <c r="G161" s="40" t="n">
        <v>33.18</v>
      </c>
      <c r="H161" s="40" t="n">
        <v>23.51</v>
      </c>
      <c r="I161" s="40" t="n">
        <f aca="false">G161+H161</f>
        <v>56.69</v>
      </c>
      <c r="J161" s="40" t="n">
        <f aca="false">G161*F161</f>
        <v>1061.76</v>
      </c>
      <c r="K161" s="40" t="n">
        <f aca="false">H161*F161</f>
        <v>752.32</v>
      </c>
      <c r="L161" s="40" t="n">
        <f aca="false">J161+K161</f>
        <v>1814.08</v>
      </c>
      <c r="M161" s="40" t="n">
        <f aca="false">ROUND(L161*(1+$M$4),2)</f>
        <v>2286.1</v>
      </c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F161" s="41"/>
      <c r="AG161" s="41"/>
      <c r="AH161" s="41"/>
      <c r="AI161" s="41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</row>
    <row r="162" customFormat="false" ht="15" hidden="false" customHeight="false" outlineLevel="0" collapsed="false">
      <c r="A162" s="34" t="s">
        <v>421</v>
      </c>
      <c r="B162" s="35" t="s">
        <v>422</v>
      </c>
      <c r="C162" s="36" t="s">
        <v>423</v>
      </c>
      <c r="D162" s="37" t="s">
        <v>424</v>
      </c>
      <c r="E162" s="38" t="s">
        <v>14</v>
      </c>
      <c r="F162" s="39" t="n">
        <v>6</v>
      </c>
      <c r="G162" s="40" t="n">
        <v>20.15</v>
      </c>
      <c r="H162" s="40" t="n">
        <v>14.22</v>
      </c>
      <c r="I162" s="40" t="n">
        <f aca="false">G162+H162</f>
        <v>34.37</v>
      </c>
      <c r="J162" s="40" t="n">
        <f aca="false">G162*F162</f>
        <v>120.9</v>
      </c>
      <c r="K162" s="40" t="n">
        <f aca="false">H162*F162</f>
        <v>85.32</v>
      </c>
      <c r="L162" s="40" t="n">
        <f aca="false">J162+K162</f>
        <v>206.22</v>
      </c>
      <c r="M162" s="40" t="n">
        <f aca="false">ROUND(L162*(1+$M$4),2)</f>
        <v>259.88</v>
      </c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F162" s="41"/>
      <c r="AG162" s="41"/>
      <c r="AH162" s="41"/>
      <c r="AI162" s="41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</row>
    <row r="163" customFormat="false" ht="15" hidden="false" customHeight="false" outlineLevel="0" collapsed="false">
      <c r="A163" s="34" t="s">
        <v>425</v>
      </c>
      <c r="B163" s="35" t="s">
        <v>426</v>
      </c>
      <c r="C163" s="36" t="s">
        <v>427</v>
      </c>
      <c r="D163" s="37" t="s">
        <v>428</v>
      </c>
      <c r="E163" s="38" t="s">
        <v>93</v>
      </c>
      <c r="F163" s="39" t="n">
        <v>3</v>
      </c>
      <c r="G163" s="40" t="n">
        <v>22.87</v>
      </c>
      <c r="H163" s="40" t="n">
        <v>14.22</v>
      </c>
      <c r="I163" s="40" t="n">
        <f aca="false">G163+H163</f>
        <v>37.09</v>
      </c>
      <c r="J163" s="40" t="n">
        <f aca="false">G163*F163</f>
        <v>68.61</v>
      </c>
      <c r="K163" s="40" t="n">
        <f aca="false">H163*F163</f>
        <v>42.66</v>
      </c>
      <c r="L163" s="40" t="n">
        <f aca="false">J163+K163</f>
        <v>111.27</v>
      </c>
      <c r="M163" s="40" t="n">
        <f aca="false">ROUND(L163*(1+$M$4),2)</f>
        <v>140.22</v>
      </c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F163" s="41"/>
      <c r="AG163" s="41"/>
      <c r="AH163" s="41"/>
      <c r="AI163" s="41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</row>
    <row r="164" customFormat="false" ht="15" hidden="false" customHeight="false" outlineLevel="0" collapsed="false">
      <c r="A164" s="34" t="s">
        <v>429</v>
      </c>
      <c r="B164" s="35" t="s">
        <v>430</v>
      </c>
      <c r="C164" s="36" t="s">
        <v>431</v>
      </c>
      <c r="D164" s="37" t="s">
        <v>432</v>
      </c>
      <c r="E164" s="38" t="s">
        <v>14</v>
      </c>
      <c r="F164" s="39" t="n">
        <v>6</v>
      </c>
      <c r="G164" s="40" t="n">
        <v>25.37</v>
      </c>
      <c r="H164" s="40" t="n">
        <v>21.3</v>
      </c>
      <c r="I164" s="40" t="n">
        <f aca="false">G164+H164</f>
        <v>46.67</v>
      </c>
      <c r="J164" s="40" t="n">
        <f aca="false">G164*F164</f>
        <v>152.22</v>
      </c>
      <c r="K164" s="40" t="n">
        <f aca="false">H164*F164</f>
        <v>127.8</v>
      </c>
      <c r="L164" s="40" t="n">
        <f aca="false">J164+K164</f>
        <v>280.02</v>
      </c>
      <c r="M164" s="40" t="n">
        <f aca="false">ROUND(L164*(1+$M$4),2)</f>
        <v>352.88</v>
      </c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F164" s="41"/>
      <c r="AG164" s="41"/>
      <c r="AH164" s="41"/>
      <c r="AI164" s="41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</row>
    <row r="165" customFormat="false" ht="15" hidden="false" customHeight="false" outlineLevel="0" collapsed="false">
      <c r="A165" s="34" t="s">
        <v>433</v>
      </c>
      <c r="B165" s="35" t="s">
        <v>434</v>
      </c>
      <c r="C165" s="36" t="s">
        <v>435</v>
      </c>
      <c r="D165" s="37" t="s">
        <v>436</v>
      </c>
      <c r="E165" s="38" t="s">
        <v>14</v>
      </c>
      <c r="F165" s="39" t="n">
        <v>49</v>
      </c>
      <c r="G165" s="40" t="n">
        <v>17.27</v>
      </c>
      <c r="H165" s="40" t="n">
        <v>3.56</v>
      </c>
      <c r="I165" s="40" t="n">
        <f aca="false">G165+H165</f>
        <v>20.83</v>
      </c>
      <c r="J165" s="40" t="n">
        <f aca="false">G165*F165</f>
        <v>846.23</v>
      </c>
      <c r="K165" s="40" t="n">
        <f aca="false">H165*F165</f>
        <v>174.44</v>
      </c>
      <c r="L165" s="40" t="n">
        <f aca="false">J165+K165</f>
        <v>1020.67</v>
      </c>
      <c r="M165" s="40" t="n">
        <f aca="false">ROUND(L165*(1+$M$4),2)</f>
        <v>1286.25</v>
      </c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F165" s="41"/>
      <c r="AG165" s="41"/>
      <c r="AH165" s="41"/>
      <c r="AI165" s="41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</row>
    <row r="166" customFormat="false" ht="15" hidden="false" customHeight="false" outlineLevel="0" collapsed="false">
      <c r="A166" s="34" t="s">
        <v>437</v>
      </c>
      <c r="B166" s="35" t="s">
        <v>438</v>
      </c>
      <c r="C166" s="36" t="s">
        <v>439</v>
      </c>
      <c r="D166" s="37" t="s">
        <v>440</v>
      </c>
      <c r="E166" s="38" t="s">
        <v>14</v>
      </c>
      <c r="F166" s="39" t="n">
        <v>11</v>
      </c>
      <c r="G166" s="40" t="n">
        <v>7.12</v>
      </c>
      <c r="H166" s="40" t="n">
        <v>9.42</v>
      </c>
      <c r="I166" s="40" t="n">
        <f aca="false">G166+H166</f>
        <v>16.54</v>
      </c>
      <c r="J166" s="40" t="n">
        <f aca="false">G166*F166</f>
        <v>78.32</v>
      </c>
      <c r="K166" s="40" t="n">
        <f aca="false">H166*F166</f>
        <v>103.62</v>
      </c>
      <c r="L166" s="40" t="n">
        <f aca="false">J166+K166</f>
        <v>181.94</v>
      </c>
      <c r="M166" s="40" t="n">
        <f aca="false">ROUND(L166*(1+$M$4),2)</f>
        <v>229.28</v>
      </c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F166" s="41"/>
      <c r="AG166" s="41"/>
      <c r="AH166" s="41"/>
      <c r="AI166" s="41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</row>
    <row r="167" customFormat="false" ht="15" hidden="false" customHeight="false" outlineLevel="0" collapsed="false">
      <c r="A167" s="34" t="s">
        <v>441</v>
      </c>
      <c r="B167" s="35" t="s">
        <v>442</v>
      </c>
      <c r="C167" s="36" t="s">
        <v>443</v>
      </c>
      <c r="D167" s="37" t="s">
        <v>444</v>
      </c>
      <c r="E167" s="38" t="s">
        <v>14</v>
      </c>
      <c r="F167" s="39" t="n">
        <v>52</v>
      </c>
      <c r="G167" s="40" t="n">
        <v>8.07</v>
      </c>
      <c r="H167" s="40" t="n">
        <v>5.38</v>
      </c>
      <c r="I167" s="40" t="n">
        <f aca="false">G167+H167</f>
        <v>13.45</v>
      </c>
      <c r="J167" s="40" t="n">
        <f aca="false">G167*F167</f>
        <v>419.64</v>
      </c>
      <c r="K167" s="40" t="n">
        <f aca="false">H167*F167</f>
        <v>279.76</v>
      </c>
      <c r="L167" s="40" t="n">
        <f aca="false">J167+K167</f>
        <v>699.4</v>
      </c>
      <c r="M167" s="40" t="n">
        <f aca="false">ROUND(L167*(1+$M$4),2)</f>
        <v>881.38</v>
      </c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F167" s="41"/>
      <c r="AG167" s="41"/>
      <c r="AH167" s="41"/>
      <c r="AI167" s="41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</row>
    <row r="168" customFormat="false" ht="15" hidden="false" customHeight="false" outlineLevel="0" collapsed="false">
      <c r="A168" s="34" t="s">
        <v>445</v>
      </c>
      <c r="B168" s="35" t="s">
        <v>446</v>
      </c>
      <c r="C168" s="36" t="n">
        <v>97667</v>
      </c>
      <c r="D168" s="37" t="s">
        <v>447</v>
      </c>
      <c r="E168" s="38" t="s">
        <v>396</v>
      </c>
      <c r="F168" s="39" t="n">
        <v>30</v>
      </c>
      <c r="G168" s="40" t="n">
        <v>5.41</v>
      </c>
      <c r="H168" s="40" t="n">
        <v>2.52</v>
      </c>
      <c r="I168" s="40" t="n">
        <f aca="false">G168+H168</f>
        <v>7.93</v>
      </c>
      <c r="J168" s="40" t="n">
        <f aca="false">G168*F168</f>
        <v>162.3</v>
      </c>
      <c r="K168" s="40" t="n">
        <f aca="false">H168*F168</f>
        <v>75.6</v>
      </c>
      <c r="L168" s="40" t="n">
        <f aca="false">J168+K168</f>
        <v>237.9</v>
      </c>
      <c r="M168" s="40" t="n">
        <f aca="false">ROUND(L168*(1+$M$4),2)</f>
        <v>299.8</v>
      </c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F168" s="41"/>
      <c r="AG168" s="41"/>
      <c r="AH168" s="41"/>
      <c r="AI168" s="41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</row>
    <row r="169" customFormat="false" ht="15" hidden="false" customHeight="false" outlineLevel="0" collapsed="false">
      <c r="A169" s="34" t="s">
        <v>448</v>
      </c>
      <c r="B169" s="35" t="s">
        <v>449</v>
      </c>
      <c r="C169" s="36" t="s">
        <v>450</v>
      </c>
      <c r="D169" s="37" t="s">
        <v>451</v>
      </c>
      <c r="E169" s="38" t="s">
        <v>396</v>
      </c>
      <c r="F169" s="39" t="n">
        <v>210</v>
      </c>
      <c r="G169" s="40" t="n">
        <v>5.94</v>
      </c>
      <c r="H169" s="40" t="n">
        <v>4.26</v>
      </c>
      <c r="I169" s="40" t="n">
        <f aca="false">G169+H169</f>
        <v>10.2</v>
      </c>
      <c r="J169" s="40" t="n">
        <f aca="false">G169*F169</f>
        <v>1247.4</v>
      </c>
      <c r="K169" s="40" t="n">
        <f aca="false">H169*F169</f>
        <v>894.6</v>
      </c>
      <c r="L169" s="40" t="n">
        <f aca="false">J169+K169</f>
        <v>2142</v>
      </c>
      <c r="M169" s="40" t="n">
        <f aca="false">ROUND(L169*(1+$M$4),2)</f>
        <v>2699.35</v>
      </c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F169" s="41"/>
      <c r="AG169" s="41"/>
      <c r="AH169" s="41"/>
      <c r="AI169" s="41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</row>
    <row r="170" customFormat="false" ht="15" hidden="false" customHeight="false" outlineLevel="0" collapsed="false">
      <c r="A170" s="34" t="s">
        <v>452</v>
      </c>
      <c r="B170" s="35" t="s">
        <v>453</v>
      </c>
      <c r="C170" s="36" t="s">
        <v>454</v>
      </c>
      <c r="D170" s="37" t="s">
        <v>455</v>
      </c>
      <c r="E170" s="38" t="s">
        <v>396</v>
      </c>
      <c r="F170" s="39" t="n">
        <v>175</v>
      </c>
      <c r="G170" s="40" t="n">
        <v>8.26</v>
      </c>
      <c r="H170" s="40" t="n">
        <v>6.39</v>
      </c>
      <c r="I170" s="40" t="n">
        <f aca="false">G170+H170</f>
        <v>14.65</v>
      </c>
      <c r="J170" s="40" t="n">
        <f aca="false">G170*F170</f>
        <v>1445.5</v>
      </c>
      <c r="K170" s="40" t="n">
        <f aca="false">H170*F170</f>
        <v>1118.25</v>
      </c>
      <c r="L170" s="40" t="n">
        <f aca="false">J170+K170</f>
        <v>2563.75</v>
      </c>
      <c r="M170" s="40" t="n">
        <f aca="false">ROUND(L170*(1+$M$4),2)</f>
        <v>3230.84</v>
      </c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F170" s="41"/>
      <c r="AG170" s="41"/>
      <c r="AH170" s="41"/>
      <c r="AI170" s="41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</row>
    <row r="171" customFormat="false" ht="15" hidden="false" customHeight="false" outlineLevel="0" collapsed="false">
      <c r="A171" s="34" t="s">
        <v>456</v>
      </c>
      <c r="B171" s="35" t="s">
        <v>457</v>
      </c>
      <c r="C171" s="36" t="s">
        <v>458</v>
      </c>
      <c r="D171" s="37" t="s">
        <v>459</v>
      </c>
      <c r="E171" s="38" t="s">
        <v>396</v>
      </c>
      <c r="F171" s="39" t="n">
        <v>3</v>
      </c>
      <c r="G171" s="40" t="n">
        <v>25.98</v>
      </c>
      <c r="H171" s="40" t="n">
        <v>4.84</v>
      </c>
      <c r="I171" s="40" t="n">
        <f aca="false">G171+H171</f>
        <v>30.82</v>
      </c>
      <c r="J171" s="40" t="n">
        <f aca="false">G171*F171</f>
        <v>77.94</v>
      </c>
      <c r="K171" s="40" t="n">
        <f aca="false">H171*F171</f>
        <v>14.52</v>
      </c>
      <c r="L171" s="40" t="n">
        <f aca="false">J171+K171</f>
        <v>92.46</v>
      </c>
      <c r="M171" s="40" t="n">
        <f aca="false">ROUND(L171*(1+$M$4),2)</f>
        <v>116.52</v>
      </c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F171" s="41"/>
      <c r="AG171" s="41"/>
      <c r="AH171" s="41"/>
      <c r="AI171" s="41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</row>
    <row r="172" customFormat="false" ht="15" hidden="false" customHeight="false" outlineLevel="0" collapsed="false">
      <c r="A172" s="34" t="s">
        <v>460</v>
      </c>
      <c r="B172" s="35" t="s">
        <v>461</v>
      </c>
      <c r="C172" s="36" t="s">
        <v>462</v>
      </c>
      <c r="D172" s="37" t="s">
        <v>463</v>
      </c>
      <c r="E172" s="38" t="s">
        <v>14</v>
      </c>
      <c r="F172" s="39" t="n">
        <v>4</v>
      </c>
      <c r="G172" s="40" t="n">
        <v>33.36</v>
      </c>
      <c r="H172" s="40" t="n">
        <v>13</v>
      </c>
      <c r="I172" s="40" t="n">
        <f aca="false">G172+H172</f>
        <v>46.36</v>
      </c>
      <c r="J172" s="40" t="n">
        <f aca="false">G172*F172</f>
        <v>133.44</v>
      </c>
      <c r="K172" s="40" t="n">
        <f aca="false">H172*F172</f>
        <v>52</v>
      </c>
      <c r="L172" s="40" t="n">
        <f aca="false">J172+K172</f>
        <v>185.44</v>
      </c>
      <c r="M172" s="40" t="n">
        <f aca="false">ROUND(L172*(1+$M$4),2)</f>
        <v>233.69</v>
      </c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F172" s="41"/>
      <c r="AG172" s="41"/>
      <c r="AH172" s="41"/>
      <c r="AI172" s="41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</row>
    <row r="173" customFormat="false" ht="15" hidden="false" customHeight="false" outlineLevel="0" collapsed="false">
      <c r="A173" s="34" t="s">
        <v>464</v>
      </c>
      <c r="B173" s="35" t="s">
        <v>465</v>
      </c>
      <c r="C173" s="36" t="s">
        <v>466</v>
      </c>
      <c r="D173" s="37" t="s">
        <v>467</v>
      </c>
      <c r="E173" s="38" t="s">
        <v>14</v>
      </c>
      <c r="F173" s="39" t="n">
        <v>2</v>
      </c>
      <c r="G173" s="40" t="n">
        <v>78.78</v>
      </c>
      <c r="H173" s="40" t="n">
        <v>19.83</v>
      </c>
      <c r="I173" s="40" t="n">
        <f aca="false">G173+H173</f>
        <v>98.61</v>
      </c>
      <c r="J173" s="40" t="n">
        <f aca="false">G173*F173</f>
        <v>157.56</v>
      </c>
      <c r="K173" s="40" t="n">
        <f aca="false">H173*F173</f>
        <v>39.66</v>
      </c>
      <c r="L173" s="40" t="n">
        <f aca="false">J173+K173</f>
        <v>197.22</v>
      </c>
      <c r="M173" s="40" t="n">
        <f aca="false">ROUND(L173*(1+$M$4),2)</f>
        <v>248.54</v>
      </c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F173" s="41"/>
      <c r="AG173" s="41"/>
      <c r="AH173" s="41"/>
      <c r="AI173" s="41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</row>
    <row r="174" customFormat="false" ht="15" hidden="false" customHeight="false" outlineLevel="0" collapsed="false">
      <c r="A174" s="34" t="s">
        <v>468</v>
      </c>
      <c r="B174" s="35" t="s">
        <v>469</v>
      </c>
      <c r="C174" s="36" t="s">
        <v>470</v>
      </c>
      <c r="D174" s="37" t="s">
        <v>471</v>
      </c>
      <c r="E174" s="38" t="s">
        <v>14</v>
      </c>
      <c r="F174" s="39" t="n">
        <v>5</v>
      </c>
      <c r="G174" s="40" t="n">
        <v>12.25</v>
      </c>
      <c r="H174" s="40" t="n">
        <v>1.3</v>
      </c>
      <c r="I174" s="40" t="n">
        <f aca="false">G174+H174</f>
        <v>13.55</v>
      </c>
      <c r="J174" s="40" t="n">
        <f aca="false">G174*F174</f>
        <v>61.25</v>
      </c>
      <c r="K174" s="40" t="n">
        <f aca="false">H174*F174</f>
        <v>6.5</v>
      </c>
      <c r="L174" s="40" t="n">
        <f aca="false">J174+K174</f>
        <v>67.75</v>
      </c>
      <c r="M174" s="40" t="n">
        <f aca="false">ROUND(L174*(1+$M$4),2)</f>
        <v>85.38</v>
      </c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F174" s="41"/>
      <c r="AG174" s="41"/>
      <c r="AH174" s="41"/>
      <c r="AI174" s="41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</row>
    <row r="175" customFormat="false" ht="15" hidden="false" customHeight="false" outlineLevel="0" collapsed="false">
      <c r="A175" s="34" t="s">
        <v>472</v>
      </c>
      <c r="B175" s="35" t="s">
        <v>469</v>
      </c>
      <c r="C175" s="36" t="s">
        <v>473</v>
      </c>
      <c r="D175" s="37" t="s">
        <v>474</v>
      </c>
      <c r="E175" s="38" t="s">
        <v>14</v>
      </c>
      <c r="F175" s="39" t="n">
        <v>6</v>
      </c>
      <c r="G175" s="40" t="n">
        <v>12.42</v>
      </c>
      <c r="H175" s="40" t="n">
        <v>1.77</v>
      </c>
      <c r="I175" s="40" t="n">
        <f aca="false">G175+H175</f>
        <v>14.19</v>
      </c>
      <c r="J175" s="40" t="n">
        <f aca="false">G175*F175</f>
        <v>74.52</v>
      </c>
      <c r="K175" s="40" t="n">
        <f aca="false">H175*F175</f>
        <v>10.62</v>
      </c>
      <c r="L175" s="40" t="n">
        <f aca="false">J175+K175</f>
        <v>85.14</v>
      </c>
      <c r="M175" s="40" t="n">
        <f aca="false">ROUND(L175*(1+$M$4),2)</f>
        <v>107.29</v>
      </c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F175" s="41"/>
      <c r="AG175" s="41"/>
      <c r="AH175" s="41"/>
      <c r="AI175" s="41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</row>
    <row r="176" customFormat="false" ht="15" hidden="false" customHeight="false" outlineLevel="0" collapsed="false">
      <c r="A176" s="34" t="s">
        <v>475</v>
      </c>
      <c r="B176" s="35" t="s">
        <v>469</v>
      </c>
      <c r="C176" s="36" t="s">
        <v>476</v>
      </c>
      <c r="D176" s="37" t="s">
        <v>477</v>
      </c>
      <c r="E176" s="38" t="s">
        <v>14</v>
      </c>
      <c r="F176" s="39" t="n">
        <v>1</v>
      </c>
      <c r="G176" s="40" t="n">
        <v>12.92</v>
      </c>
      <c r="H176" s="40" t="n">
        <v>2.48</v>
      </c>
      <c r="I176" s="40" t="n">
        <f aca="false">G176+H176</f>
        <v>15.4</v>
      </c>
      <c r="J176" s="40" t="n">
        <f aca="false">G176*F176</f>
        <v>12.92</v>
      </c>
      <c r="K176" s="40" t="n">
        <f aca="false">H176*F176</f>
        <v>2.48</v>
      </c>
      <c r="L176" s="40" t="n">
        <f aca="false">J176+K176</f>
        <v>15.4</v>
      </c>
      <c r="M176" s="40" t="n">
        <f aca="false">ROUND(L176*(1+$M$4),2)</f>
        <v>19.41</v>
      </c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F176" s="41"/>
      <c r="AG176" s="41"/>
      <c r="AH176" s="41"/>
      <c r="AI176" s="41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</row>
    <row r="177" customFormat="false" ht="15" hidden="false" customHeight="false" outlineLevel="0" collapsed="false">
      <c r="A177" s="34" t="s">
        <v>478</v>
      </c>
      <c r="B177" s="35" t="s">
        <v>469</v>
      </c>
      <c r="C177" s="36" t="s">
        <v>479</v>
      </c>
      <c r="D177" s="37" t="s">
        <v>480</v>
      </c>
      <c r="E177" s="38" t="s">
        <v>14</v>
      </c>
      <c r="F177" s="39" t="n">
        <v>1</v>
      </c>
      <c r="G177" s="40" t="n">
        <v>65.17</v>
      </c>
      <c r="H177" s="40" t="n">
        <v>2.63</v>
      </c>
      <c r="I177" s="40" t="n">
        <f aca="false">G177+H177</f>
        <v>67.8</v>
      </c>
      <c r="J177" s="40" t="n">
        <f aca="false">G177*F177</f>
        <v>65.17</v>
      </c>
      <c r="K177" s="40" t="n">
        <f aca="false">H177*F177</f>
        <v>2.63</v>
      </c>
      <c r="L177" s="40" t="n">
        <f aca="false">J177+K177</f>
        <v>67.8</v>
      </c>
      <c r="M177" s="40" t="n">
        <f aca="false">ROUND(L177*(1+$M$4),2)</f>
        <v>85.44</v>
      </c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F177" s="41"/>
      <c r="AG177" s="41"/>
      <c r="AH177" s="41"/>
      <c r="AI177" s="41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</row>
    <row r="178" customFormat="false" ht="15" hidden="false" customHeight="false" outlineLevel="0" collapsed="false">
      <c r="A178" s="34" t="s">
        <v>481</v>
      </c>
      <c r="B178" s="35" t="s">
        <v>482</v>
      </c>
      <c r="C178" s="36" t="s">
        <v>483</v>
      </c>
      <c r="D178" s="37" t="s">
        <v>484</v>
      </c>
      <c r="E178" s="38" t="s">
        <v>14</v>
      </c>
      <c r="F178" s="39" t="n">
        <v>6</v>
      </c>
      <c r="G178" s="40" t="n">
        <v>66.53</v>
      </c>
      <c r="H178" s="40" t="n">
        <v>4.96</v>
      </c>
      <c r="I178" s="40" t="n">
        <f aca="false">G178+H178</f>
        <v>71.49</v>
      </c>
      <c r="J178" s="40" t="n">
        <f aca="false">G178*F178</f>
        <v>399.18</v>
      </c>
      <c r="K178" s="40" t="n">
        <f aca="false">H178*F178</f>
        <v>29.76</v>
      </c>
      <c r="L178" s="40" t="n">
        <f aca="false">J178+K178</f>
        <v>428.94</v>
      </c>
      <c r="M178" s="40" t="n">
        <f aca="false">ROUND(L178*(1+$M$4),2)</f>
        <v>540.55</v>
      </c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F178" s="41"/>
      <c r="AG178" s="41"/>
      <c r="AH178" s="41"/>
      <c r="AI178" s="41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</row>
    <row r="179" customFormat="false" ht="15" hidden="false" customHeight="false" outlineLevel="0" collapsed="false">
      <c r="A179" s="34" t="s">
        <v>485</v>
      </c>
      <c r="B179" s="35" t="s">
        <v>486</v>
      </c>
      <c r="C179" s="36" t="s">
        <v>487</v>
      </c>
      <c r="D179" s="37" t="s">
        <v>488</v>
      </c>
      <c r="E179" s="38" t="s">
        <v>14</v>
      </c>
      <c r="F179" s="39" t="n">
        <v>1</v>
      </c>
      <c r="G179" s="40" t="n">
        <v>151.14</v>
      </c>
      <c r="H179" s="40" t="n">
        <v>29.41</v>
      </c>
      <c r="I179" s="40" t="n">
        <f aca="false">G179+H179</f>
        <v>180.55</v>
      </c>
      <c r="J179" s="40" t="n">
        <f aca="false">G179*F179</f>
        <v>151.14</v>
      </c>
      <c r="K179" s="40" t="n">
        <f aca="false">H179*F179</f>
        <v>29.41</v>
      </c>
      <c r="L179" s="40" t="n">
        <f aca="false">J179+K179</f>
        <v>180.55</v>
      </c>
      <c r="M179" s="40" t="n">
        <f aca="false">ROUND(L179*(1+$M$4),2)</f>
        <v>227.53</v>
      </c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F179" s="41"/>
      <c r="AG179" s="41"/>
      <c r="AH179" s="41"/>
      <c r="AI179" s="41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</row>
    <row r="180" customFormat="false" ht="15" hidden="false" customHeight="false" outlineLevel="0" collapsed="false">
      <c r="A180" s="34" t="s">
        <v>489</v>
      </c>
      <c r="B180" s="35" t="s">
        <v>490</v>
      </c>
      <c r="C180" s="36" t="s">
        <v>491</v>
      </c>
      <c r="D180" s="37" t="s">
        <v>492</v>
      </c>
      <c r="E180" s="38" t="s">
        <v>14</v>
      </c>
      <c r="F180" s="39" t="n">
        <v>2</v>
      </c>
      <c r="G180" s="40" t="n">
        <v>86.31</v>
      </c>
      <c r="H180" s="40" t="n">
        <v>15.24</v>
      </c>
      <c r="I180" s="40" t="n">
        <f aca="false">G180+H180</f>
        <v>101.55</v>
      </c>
      <c r="J180" s="40" t="n">
        <f aca="false">G180*F180</f>
        <v>172.62</v>
      </c>
      <c r="K180" s="40" t="n">
        <f aca="false">H180*F180</f>
        <v>30.48</v>
      </c>
      <c r="L180" s="40" t="n">
        <f aca="false">J180+K180</f>
        <v>203.1</v>
      </c>
      <c r="M180" s="40" t="n">
        <f aca="false">ROUND(L180*(1+$M$4),2)</f>
        <v>255.95</v>
      </c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F180" s="41"/>
      <c r="AG180" s="41"/>
      <c r="AH180" s="41"/>
      <c r="AI180" s="41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</row>
    <row r="181" customFormat="false" ht="15" hidden="false" customHeight="false" outlineLevel="0" collapsed="false">
      <c r="A181" s="34" t="s">
        <v>493</v>
      </c>
      <c r="B181" s="35" t="s">
        <v>494</v>
      </c>
      <c r="C181" s="36" t="s">
        <v>495</v>
      </c>
      <c r="D181" s="37" t="s">
        <v>496</v>
      </c>
      <c r="E181" s="38" t="s">
        <v>14</v>
      </c>
      <c r="F181" s="39" t="n">
        <v>46</v>
      </c>
      <c r="G181" s="40" t="n">
        <v>90.37</v>
      </c>
      <c r="H181" s="40" t="n">
        <v>10.22</v>
      </c>
      <c r="I181" s="40" t="n">
        <f aca="false">G181+H181</f>
        <v>100.59</v>
      </c>
      <c r="J181" s="40" t="n">
        <f aca="false">G181*F181</f>
        <v>4157.02</v>
      </c>
      <c r="K181" s="40" t="n">
        <f aca="false">H181*F181</f>
        <v>470.12</v>
      </c>
      <c r="L181" s="40" t="n">
        <f aca="false">J181+K181</f>
        <v>4627.14</v>
      </c>
      <c r="M181" s="40" t="n">
        <f aca="false">ROUND(L181*(1+$M$4),2)</f>
        <v>5831.12</v>
      </c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F181" s="41"/>
      <c r="AG181" s="41"/>
      <c r="AH181" s="41"/>
      <c r="AI181" s="41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</row>
    <row r="182" customFormat="false" ht="15" hidden="false" customHeight="false" outlineLevel="0" collapsed="false">
      <c r="A182" s="34" t="s">
        <v>497</v>
      </c>
      <c r="B182" s="35" t="s">
        <v>498</v>
      </c>
      <c r="C182" s="36" t="s">
        <v>499</v>
      </c>
      <c r="D182" s="37" t="s">
        <v>500</v>
      </c>
      <c r="E182" s="38" t="s">
        <v>14</v>
      </c>
      <c r="F182" s="39" t="n">
        <v>6</v>
      </c>
      <c r="G182" s="40" t="n">
        <v>47.52</v>
      </c>
      <c r="H182" s="40" t="n">
        <v>0</v>
      </c>
      <c r="I182" s="40" t="n">
        <f aca="false">G182+H182</f>
        <v>47.52</v>
      </c>
      <c r="J182" s="40" t="n">
        <f aca="false">G182*F182</f>
        <v>285.12</v>
      </c>
      <c r="K182" s="40" t="n">
        <f aca="false">H182*F182</f>
        <v>0</v>
      </c>
      <c r="L182" s="40" t="n">
        <f aca="false">J182+K182</f>
        <v>285.12</v>
      </c>
      <c r="M182" s="40" t="n">
        <f aca="false">ROUND(L182*(1+$M$4),2)</f>
        <v>359.31</v>
      </c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F182" s="41"/>
      <c r="AG182" s="41"/>
      <c r="AH182" s="41"/>
      <c r="AI182" s="41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</row>
    <row r="183" customFormat="false" ht="15" hidden="false" customHeight="false" outlineLevel="0" collapsed="false">
      <c r="A183" s="34" t="s">
        <v>501</v>
      </c>
      <c r="B183" s="35" t="s">
        <v>502</v>
      </c>
      <c r="C183" s="36" t="s">
        <v>503</v>
      </c>
      <c r="D183" s="37" t="s">
        <v>504</v>
      </c>
      <c r="E183" s="38" t="s">
        <v>14</v>
      </c>
      <c r="F183" s="39" t="n">
        <v>1</v>
      </c>
      <c r="G183" s="40" t="n">
        <v>788.85</v>
      </c>
      <c r="H183" s="40" t="n">
        <v>26.98</v>
      </c>
      <c r="I183" s="40" t="n">
        <f aca="false">G183+H183</f>
        <v>815.83</v>
      </c>
      <c r="J183" s="40" t="n">
        <f aca="false">G183*F183</f>
        <v>788.85</v>
      </c>
      <c r="K183" s="40" t="n">
        <f aca="false">H183*F183</f>
        <v>26.98</v>
      </c>
      <c r="L183" s="40" t="n">
        <f aca="false">J183+K183</f>
        <v>815.83</v>
      </c>
      <c r="M183" s="40" t="n">
        <f aca="false">ROUND(L183*(1+$M$4),2)</f>
        <v>1028.11</v>
      </c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F183" s="41"/>
      <c r="AG183" s="41"/>
      <c r="AH183" s="41"/>
      <c r="AI183" s="41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</row>
    <row r="184" customFormat="false" ht="15" hidden="false" customHeight="false" outlineLevel="0" collapsed="false">
      <c r="A184" s="34" t="s">
        <v>505</v>
      </c>
      <c r="B184" s="35" t="s">
        <v>506</v>
      </c>
      <c r="C184" s="36" t="s">
        <v>507</v>
      </c>
      <c r="D184" s="37" t="s">
        <v>508</v>
      </c>
      <c r="E184" s="38" t="s">
        <v>14</v>
      </c>
      <c r="F184" s="39" t="n">
        <v>1</v>
      </c>
      <c r="G184" s="40" t="n">
        <v>653.6</v>
      </c>
      <c r="H184" s="40" t="n">
        <v>22.25</v>
      </c>
      <c r="I184" s="40" t="n">
        <f aca="false">G184+H184</f>
        <v>675.85</v>
      </c>
      <c r="J184" s="40" t="n">
        <f aca="false">G184*F184</f>
        <v>653.6</v>
      </c>
      <c r="K184" s="40" t="n">
        <f aca="false">H184*F184</f>
        <v>22.25</v>
      </c>
      <c r="L184" s="40" t="n">
        <f aca="false">J184+K184</f>
        <v>675.85</v>
      </c>
      <c r="M184" s="40" t="n">
        <f aca="false">ROUND(L184*(1+$M$4),2)</f>
        <v>851.71</v>
      </c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F184" s="41"/>
      <c r="AG184" s="41"/>
      <c r="AH184" s="41"/>
      <c r="AI184" s="41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</row>
    <row r="185" customFormat="false" ht="15" hidden="false" customHeight="true" outlineLevel="0" collapsed="false">
      <c r="A185" s="67" t="s">
        <v>509</v>
      </c>
      <c r="B185" s="74" t="s">
        <v>510</v>
      </c>
      <c r="C185" s="74"/>
      <c r="D185" s="69"/>
      <c r="E185" s="70"/>
      <c r="F185" s="71"/>
      <c r="G185" s="72"/>
      <c r="H185" s="72"/>
      <c r="I185" s="72"/>
      <c r="J185" s="72"/>
      <c r="K185" s="72"/>
      <c r="L185" s="72"/>
      <c r="M185" s="72"/>
      <c r="N185" s="75"/>
      <c r="O185" s="75"/>
      <c r="P185" s="75"/>
      <c r="Q185" s="75"/>
      <c r="R185" s="75"/>
      <c r="S185" s="75"/>
      <c r="T185" s="75"/>
      <c r="U185" s="75"/>
      <c r="V185" s="75"/>
      <c r="W185" s="75"/>
      <c r="X185" s="75"/>
      <c r="Y185" s="75"/>
      <c r="Z185" s="75"/>
      <c r="AA185" s="75"/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  <c r="AV185" s="75"/>
      <c r="AW185" s="75"/>
      <c r="AX185" s="75"/>
      <c r="AY185" s="75"/>
      <c r="AZ185" s="75"/>
    </row>
    <row r="186" customFormat="false" ht="15" hidden="false" customHeight="false" outlineLevel="0" collapsed="false">
      <c r="A186" s="34" t="s">
        <v>511</v>
      </c>
      <c r="B186" s="35" t="s">
        <v>512</v>
      </c>
      <c r="C186" s="36" t="s">
        <v>513</v>
      </c>
      <c r="D186" s="37" t="s">
        <v>514</v>
      </c>
      <c r="E186" s="38" t="s">
        <v>14</v>
      </c>
      <c r="F186" s="39" t="n">
        <v>1</v>
      </c>
      <c r="G186" s="40" t="n">
        <v>12.34</v>
      </c>
      <c r="H186" s="40" t="n">
        <v>160.92</v>
      </c>
      <c r="I186" s="40" t="n">
        <f aca="false">G186+H186</f>
        <v>173.26</v>
      </c>
      <c r="J186" s="40" t="n">
        <f aca="false">G186*F186</f>
        <v>12.34</v>
      </c>
      <c r="K186" s="40" t="n">
        <f aca="false">H186*F186</f>
        <v>160.92</v>
      </c>
      <c r="L186" s="40" t="n">
        <f aca="false">J186+K186</f>
        <v>173.26</v>
      </c>
      <c r="M186" s="40" t="n">
        <f aca="false">ROUND(L186*(1+$M$4),2)</f>
        <v>218.34</v>
      </c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F186" s="41"/>
      <c r="AG186" s="41"/>
      <c r="AH186" s="41"/>
      <c r="AI186" s="41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</row>
    <row r="187" customFormat="false" ht="15" hidden="false" customHeight="false" outlineLevel="0" collapsed="false">
      <c r="A187" s="34" t="s">
        <v>515</v>
      </c>
      <c r="B187" s="35" t="s">
        <v>516</v>
      </c>
      <c r="C187" s="36" t="s">
        <v>517</v>
      </c>
      <c r="D187" s="37" t="s">
        <v>518</v>
      </c>
      <c r="E187" s="38" t="s">
        <v>14</v>
      </c>
      <c r="F187" s="39" t="n">
        <v>1</v>
      </c>
      <c r="G187" s="40" t="n">
        <v>1967.07</v>
      </c>
      <c r="H187" s="40" t="n">
        <v>366.14</v>
      </c>
      <c r="I187" s="40" t="n">
        <f aca="false">G187+H187</f>
        <v>2333.21</v>
      </c>
      <c r="J187" s="40" t="n">
        <f aca="false">G187*F187</f>
        <v>1967.07</v>
      </c>
      <c r="K187" s="40" t="n">
        <f aca="false">H187*F187</f>
        <v>366.14</v>
      </c>
      <c r="L187" s="40" t="n">
        <f aca="false">J187+K187</f>
        <v>2333.21</v>
      </c>
      <c r="M187" s="40" t="n">
        <f aca="false">ROUND(L187*(1+$M$4),2)</f>
        <v>2940.31</v>
      </c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F187" s="41"/>
      <c r="AG187" s="41"/>
      <c r="AH187" s="41"/>
      <c r="AI187" s="41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</row>
    <row r="188" customFormat="false" ht="15" hidden="false" customHeight="false" outlineLevel="0" collapsed="false">
      <c r="A188" s="34" t="s">
        <v>519</v>
      </c>
      <c r="B188" s="35" t="s">
        <v>520</v>
      </c>
      <c r="C188" s="36" t="s">
        <v>521</v>
      </c>
      <c r="D188" s="37" t="s">
        <v>522</v>
      </c>
      <c r="E188" s="38" t="s">
        <v>14</v>
      </c>
      <c r="F188" s="39" t="n">
        <v>1</v>
      </c>
      <c r="G188" s="40" t="n">
        <v>662.63</v>
      </c>
      <c r="H188" s="40" t="n">
        <v>0</v>
      </c>
      <c r="I188" s="40" t="n">
        <f aca="false">G188+H188</f>
        <v>662.63</v>
      </c>
      <c r="J188" s="40" t="n">
        <f aca="false">G188*F188</f>
        <v>662.63</v>
      </c>
      <c r="K188" s="40" t="n">
        <f aca="false">H188*F188</f>
        <v>0</v>
      </c>
      <c r="L188" s="40" t="n">
        <f aca="false">J188+K188</f>
        <v>662.63</v>
      </c>
      <c r="M188" s="40" t="n">
        <f aca="false">ROUND(L188*(1+$M$4),2)</f>
        <v>835.05</v>
      </c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F188" s="41"/>
      <c r="AG188" s="41"/>
      <c r="AH188" s="41"/>
      <c r="AI188" s="41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</row>
    <row r="189" customFormat="false" ht="15" hidden="false" customHeight="false" outlineLevel="0" collapsed="false">
      <c r="A189" s="34" t="s">
        <v>523</v>
      </c>
      <c r="B189" s="35" t="s">
        <v>524</v>
      </c>
      <c r="C189" s="36" t="s">
        <v>525</v>
      </c>
      <c r="D189" s="37" t="s">
        <v>526</v>
      </c>
      <c r="E189" s="38" t="s">
        <v>396</v>
      </c>
      <c r="F189" s="39" t="n">
        <v>12</v>
      </c>
      <c r="G189" s="40" t="n">
        <v>7.74</v>
      </c>
      <c r="H189" s="40" t="n">
        <v>3.55</v>
      </c>
      <c r="I189" s="40" t="n">
        <f aca="false">G189+H189</f>
        <v>11.29</v>
      </c>
      <c r="J189" s="40" t="n">
        <f aca="false">G189*F189</f>
        <v>92.88</v>
      </c>
      <c r="K189" s="40" t="n">
        <f aca="false">H189*F189</f>
        <v>42.6</v>
      </c>
      <c r="L189" s="40" t="n">
        <f aca="false">J189+K189</f>
        <v>135.48</v>
      </c>
      <c r="M189" s="40" t="n">
        <f aca="false">ROUND(L189*(1+$M$4),2)</f>
        <v>170.73</v>
      </c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F189" s="41"/>
      <c r="AG189" s="41"/>
      <c r="AH189" s="41"/>
      <c r="AI189" s="41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</row>
    <row r="190" customFormat="false" ht="15" hidden="false" customHeight="false" outlineLevel="0" collapsed="false">
      <c r="A190" s="34" t="s">
        <v>527</v>
      </c>
      <c r="B190" s="35" t="s">
        <v>528</v>
      </c>
      <c r="C190" s="36" t="s">
        <v>529</v>
      </c>
      <c r="D190" s="37" t="s">
        <v>530</v>
      </c>
      <c r="E190" s="38" t="s">
        <v>396</v>
      </c>
      <c r="F190" s="39" t="n">
        <f aca="false">4*12</f>
        <v>48</v>
      </c>
      <c r="G190" s="40" t="n">
        <v>33.09</v>
      </c>
      <c r="H190" s="40" t="n">
        <v>0.06</v>
      </c>
      <c r="I190" s="40" t="n">
        <f aca="false">G190+H190</f>
        <v>33.15</v>
      </c>
      <c r="J190" s="40" t="n">
        <f aca="false">G190*F190</f>
        <v>1588.32</v>
      </c>
      <c r="K190" s="40" t="n">
        <f aca="false">H190*F190</f>
        <v>2.88</v>
      </c>
      <c r="L190" s="40" t="n">
        <f aca="false">J190+K190</f>
        <v>1591.2</v>
      </c>
      <c r="M190" s="40" t="n">
        <f aca="false">ROUND(L190*(1+$M$4),2)</f>
        <v>2005.23</v>
      </c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F190" s="41"/>
      <c r="AG190" s="41"/>
      <c r="AH190" s="41"/>
      <c r="AI190" s="41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</row>
    <row r="191" customFormat="false" ht="15" hidden="false" customHeight="false" outlineLevel="0" collapsed="false">
      <c r="A191" s="34" t="s">
        <v>531</v>
      </c>
      <c r="B191" s="35" t="s">
        <v>532</v>
      </c>
      <c r="C191" s="36" t="s">
        <v>529</v>
      </c>
      <c r="D191" s="37" t="s">
        <v>530</v>
      </c>
      <c r="E191" s="38" t="s">
        <v>396</v>
      </c>
      <c r="F191" s="39" t="n">
        <f aca="false">12</f>
        <v>12</v>
      </c>
      <c r="G191" s="40" t="n">
        <v>33.09</v>
      </c>
      <c r="H191" s="40" t="n">
        <v>0.06</v>
      </c>
      <c r="I191" s="40" t="n">
        <f aca="false">G191+H191</f>
        <v>33.15</v>
      </c>
      <c r="J191" s="40" t="n">
        <f aca="false">G191*F191</f>
        <v>397.08</v>
      </c>
      <c r="K191" s="40" t="n">
        <f aca="false">H191*F191</f>
        <v>0.72</v>
      </c>
      <c r="L191" s="40" t="n">
        <f aca="false">J191+K191</f>
        <v>397.8</v>
      </c>
      <c r="M191" s="40" t="n">
        <f aca="false">ROUND(L191*(1+$M$4),2)</f>
        <v>501.31</v>
      </c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F191" s="41"/>
      <c r="AG191" s="41"/>
      <c r="AH191" s="41"/>
      <c r="AI191" s="41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</row>
    <row r="192" customFormat="false" ht="15" hidden="false" customHeight="false" outlineLevel="0" collapsed="false">
      <c r="A192" s="34" t="s">
        <v>533</v>
      </c>
      <c r="B192" s="35" t="s">
        <v>534</v>
      </c>
      <c r="C192" s="36" t="s">
        <v>529</v>
      </c>
      <c r="D192" s="37" t="s">
        <v>530</v>
      </c>
      <c r="E192" s="38" t="s">
        <v>396</v>
      </c>
      <c r="F192" s="39" t="n">
        <f aca="false">12</f>
        <v>12</v>
      </c>
      <c r="G192" s="40" t="n">
        <v>33.09</v>
      </c>
      <c r="H192" s="40" t="n">
        <v>0.06</v>
      </c>
      <c r="I192" s="40" t="n">
        <f aca="false">G192+H192</f>
        <v>33.15</v>
      </c>
      <c r="J192" s="40" t="n">
        <f aca="false">G192*F192</f>
        <v>397.08</v>
      </c>
      <c r="K192" s="40" t="n">
        <f aca="false">H192*F192</f>
        <v>0.72</v>
      </c>
      <c r="L192" s="40" t="n">
        <f aca="false">J192+K192</f>
        <v>397.8</v>
      </c>
      <c r="M192" s="40" t="n">
        <f aca="false">ROUND(L192*(1+$M$4),2)</f>
        <v>501.31</v>
      </c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F192" s="41"/>
      <c r="AG192" s="41"/>
      <c r="AH192" s="41"/>
      <c r="AI192" s="41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</row>
    <row r="193" customFormat="false" ht="15" hidden="false" customHeight="false" outlineLevel="0" collapsed="false">
      <c r="A193" s="34" t="s">
        <v>535</v>
      </c>
      <c r="B193" s="35" t="s">
        <v>536</v>
      </c>
      <c r="C193" s="36" t="s">
        <v>458</v>
      </c>
      <c r="D193" s="37" t="s">
        <v>459</v>
      </c>
      <c r="E193" s="38" t="s">
        <v>396</v>
      </c>
      <c r="F193" s="39" t="n">
        <v>3</v>
      </c>
      <c r="G193" s="40" t="n">
        <v>25.98</v>
      </c>
      <c r="H193" s="40" t="n">
        <v>4.84</v>
      </c>
      <c r="I193" s="40" t="n">
        <f aca="false">G193+H193</f>
        <v>30.82</v>
      </c>
      <c r="J193" s="40" t="n">
        <f aca="false">G193*F193</f>
        <v>77.94</v>
      </c>
      <c r="K193" s="40" t="n">
        <f aca="false">H193*F193</f>
        <v>14.52</v>
      </c>
      <c r="L193" s="40" t="n">
        <f aca="false">J193+K193</f>
        <v>92.46</v>
      </c>
      <c r="M193" s="40" t="n">
        <f aca="false">ROUND(L193*(1+$M$4),2)</f>
        <v>116.52</v>
      </c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F193" s="41"/>
      <c r="AG193" s="41"/>
      <c r="AH193" s="41"/>
      <c r="AI193" s="41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</row>
    <row r="194" customFormat="false" ht="15" hidden="false" customHeight="false" outlineLevel="0" collapsed="false">
      <c r="A194" s="34" t="s">
        <v>537</v>
      </c>
      <c r="B194" s="35" t="s">
        <v>538</v>
      </c>
      <c r="C194" s="36" t="s">
        <v>539</v>
      </c>
      <c r="D194" s="37" t="s">
        <v>540</v>
      </c>
      <c r="E194" s="38" t="s">
        <v>14</v>
      </c>
      <c r="F194" s="39" t="n">
        <v>1</v>
      </c>
      <c r="G194" s="40" t="n">
        <v>468.63</v>
      </c>
      <c r="H194" s="40" t="n">
        <v>20</v>
      </c>
      <c r="I194" s="40" t="n">
        <f aca="false">G194+H194</f>
        <v>488.63</v>
      </c>
      <c r="J194" s="40" t="n">
        <f aca="false">G194*F194</f>
        <v>468.63</v>
      </c>
      <c r="K194" s="40" t="n">
        <f aca="false">H194*F194</f>
        <v>20</v>
      </c>
      <c r="L194" s="40" t="n">
        <f aca="false">J194+K194</f>
        <v>488.63</v>
      </c>
      <c r="M194" s="40" t="n">
        <f aca="false">ROUND(L194*(1+$M$4),2)</f>
        <v>615.77</v>
      </c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F194" s="41"/>
      <c r="AG194" s="41"/>
      <c r="AH194" s="41"/>
      <c r="AI194" s="41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</row>
    <row r="195" customFormat="false" ht="15" hidden="false" customHeight="false" outlineLevel="0" collapsed="false">
      <c r="A195" s="34" t="s">
        <v>541</v>
      </c>
      <c r="B195" s="35" t="s">
        <v>542</v>
      </c>
      <c r="C195" s="36" t="s">
        <v>487</v>
      </c>
      <c r="D195" s="37" t="s">
        <v>543</v>
      </c>
      <c r="E195" s="38" t="s">
        <v>14</v>
      </c>
      <c r="F195" s="39" t="n">
        <v>4</v>
      </c>
      <c r="G195" s="40" t="n">
        <v>151.14</v>
      </c>
      <c r="H195" s="40" t="n">
        <v>29.41</v>
      </c>
      <c r="I195" s="40" t="n">
        <f aca="false">G195+H195</f>
        <v>180.55</v>
      </c>
      <c r="J195" s="40" t="n">
        <f aca="false">G195*F195</f>
        <v>604.56</v>
      </c>
      <c r="K195" s="40" t="n">
        <f aca="false">H195*F195</f>
        <v>117.64</v>
      </c>
      <c r="L195" s="40" t="n">
        <f aca="false">J195+K195</f>
        <v>722.2</v>
      </c>
      <c r="M195" s="40" t="n">
        <f aca="false">ROUND(L195*(1+$M$4),2)</f>
        <v>910.12</v>
      </c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F195" s="41"/>
      <c r="AG195" s="41"/>
      <c r="AH195" s="41"/>
      <c r="AI195" s="41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</row>
    <row r="196" customFormat="false" ht="15" hidden="false" customHeight="true" outlineLevel="0" collapsed="false">
      <c r="A196" s="60" t="s">
        <v>544</v>
      </c>
      <c r="B196" s="61" t="s">
        <v>545</v>
      </c>
      <c r="C196" s="61"/>
      <c r="D196" s="62"/>
      <c r="E196" s="62"/>
      <c r="F196" s="63"/>
      <c r="G196" s="64"/>
      <c r="H196" s="64"/>
      <c r="I196" s="64"/>
      <c r="J196" s="31" t="n">
        <f aca="false">SUM(J198:J240)</f>
        <v>4763.78</v>
      </c>
      <c r="K196" s="31" t="n">
        <f aca="false">SUM(K198:K240)</f>
        <v>3197.72</v>
      </c>
      <c r="L196" s="31" t="n">
        <f aca="false">SUM(L198:L240)</f>
        <v>7961.5</v>
      </c>
      <c r="M196" s="31" t="n">
        <f aca="false">SUM(M198:M240)</f>
        <v>10033.07</v>
      </c>
      <c r="N196" s="65" t="n">
        <f aca="false">M196</f>
        <v>10033.07</v>
      </c>
      <c r="O196" s="66"/>
      <c r="P196" s="66"/>
      <c r="Q196" s="66"/>
      <c r="R196" s="66"/>
      <c r="S196" s="66"/>
      <c r="T196" s="66"/>
      <c r="U196" s="66"/>
      <c r="V196" s="66"/>
      <c r="W196" s="66"/>
      <c r="X196" s="66"/>
      <c r="Y196" s="66"/>
      <c r="Z196" s="66"/>
      <c r="AA196" s="66"/>
      <c r="AB196" s="66"/>
      <c r="AC196" s="66"/>
      <c r="AD196" s="66"/>
      <c r="AE196" s="66"/>
      <c r="AF196" s="66"/>
      <c r="AG196" s="66"/>
      <c r="AH196" s="66"/>
      <c r="AI196" s="66"/>
      <c r="AJ196" s="66"/>
      <c r="AK196" s="66"/>
      <c r="AL196" s="66"/>
      <c r="AM196" s="66"/>
      <c r="AN196" s="66"/>
      <c r="AO196" s="66"/>
      <c r="AP196" s="66"/>
      <c r="AQ196" s="66"/>
      <c r="AR196" s="66"/>
      <c r="AS196" s="66"/>
      <c r="AT196" s="66"/>
      <c r="AU196" s="66"/>
      <c r="AV196" s="66"/>
      <c r="AW196" s="66"/>
      <c r="AX196" s="66"/>
      <c r="AY196" s="66"/>
      <c r="AZ196" s="66"/>
    </row>
    <row r="197" customFormat="false" ht="15" hidden="false" customHeight="false" outlineLevel="0" collapsed="false">
      <c r="A197" s="76" t="s">
        <v>546</v>
      </c>
      <c r="B197" s="77" t="s">
        <v>547</v>
      </c>
      <c r="C197" s="76"/>
      <c r="D197" s="78"/>
      <c r="E197" s="79"/>
      <c r="F197" s="80"/>
      <c r="G197" s="81"/>
      <c r="H197" s="81"/>
      <c r="I197" s="81"/>
      <c r="J197" s="81"/>
      <c r="K197" s="81"/>
      <c r="L197" s="81"/>
      <c r="M197" s="81"/>
      <c r="N197" s="66"/>
      <c r="O197" s="66"/>
      <c r="P197" s="66"/>
      <c r="Q197" s="66"/>
      <c r="R197" s="66"/>
      <c r="S197" s="66"/>
      <c r="T197" s="66"/>
      <c r="U197" s="66"/>
      <c r="V197" s="66"/>
      <c r="W197" s="66"/>
      <c r="X197" s="66"/>
      <c r="Y197" s="66"/>
      <c r="Z197" s="66"/>
      <c r="AA197" s="66"/>
      <c r="AB197" s="66"/>
      <c r="AC197" s="66"/>
      <c r="AD197" s="66"/>
      <c r="AE197" s="66"/>
      <c r="AF197" s="66"/>
      <c r="AG197" s="66"/>
      <c r="AH197" s="66"/>
      <c r="AI197" s="66"/>
      <c r="AJ197" s="66"/>
      <c r="AK197" s="66"/>
      <c r="AL197" s="66"/>
      <c r="AM197" s="66"/>
      <c r="AN197" s="66"/>
      <c r="AO197" s="66"/>
      <c r="AP197" s="66"/>
      <c r="AQ197" s="66"/>
      <c r="AR197" s="66"/>
      <c r="AS197" s="66"/>
      <c r="AT197" s="66"/>
      <c r="AU197" s="66"/>
      <c r="AV197" s="66"/>
      <c r="AW197" s="66"/>
      <c r="AX197" s="66"/>
      <c r="AY197" s="66"/>
      <c r="AZ197" s="66"/>
    </row>
    <row r="198" customFormat="false" ht="15" hidden="false" customHeight="false" outlineLevel="0" collapsed="false">
      <c r="A198" s="34" t="s">
        <v>548</v>
      </c>
      <c r="B198" s="35" t="s">
        <v>549</v>
      </c>
      <c r="C198" s="36" t="s">
        <v>550</v>
      </c>
      <c r="D198" s="37" t="s">
        <v>551</v>
      </c>
      <c r="E198" s="38" t="s">
        <v>396</v>
      </c>
      <c r="F198" s="39" t="n">
        <v>20</v>
      </c>
      <c r="G198" s="40" t="n">
        <v>3.1</v>
      </c>
      <c r="H198" s="40" t="n">
        <v>10.58</v>
      </c>
      <c r="I198" s="40" t="n">
        <f aca="false">G198+H198</f>
        <v>13.68</v>
      </c>
      <c r="J198" s="40" t="n">
        <f aca="false">G198*F198</f>
        <v>62</v>
      </c>
      <c r="K198" s="40" t="n">
        <f aca="false">H198*F198</f>
        <v>211.6</v>
      </c>
      <c r="L198" s="40" t="n">
        <f aca="false">J198+K198</f>
        <v>273.6</v>
      </c>
      <c r="M198" s="40" t="n">
        <f aca="false">ROUND(L198*(1+$M$4),2)</f>
        <v>344.79</v>
      </c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F198" s="41"/>
      <c r="AG198" s="41"/>
      <c r="AH198" s="41"/>
      <c r="AI198" s="41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</row>
    <row r="199" customFormat="false" ht="15" hidden="false" customHeight="false" outlineLevel="0" collapsed="false">
      <c r="A199" s="34" t="s">
        <v>552</v>
      </c>
      <c r="B199" s="35" t="s">
        <v>553</v>
      </c>
      <c r="C199" s="36" t="s">
        <v>554</v>
      </c>
      <c r="D199" s="37" t="s">
        <v>555</v>
      </c>
      <c r="E199" s="38" t="s">
        <v>396</v>
      </c>
      <c r="F199" s="39" t="n">
        <v>20</v>
      </c>
      <c r="G199" s="40" t="n">
        <v>4.04</v>
      </c>
      <c r="H199" s="40" t="n">
        <v>9.52</v>
      </c>
      <c r="I199" s="40" t="n">
        <f aca="false">G199+H199</f>
        <v>13.56</v>
      </c>
      <c r="J199" s="40" t="n">
        <f aca="false">G199*F199</f>
        <v>80.8</v>
      </c>
      <c r="K199" s="40" t="n">
        <f aca="false">H199*F199</f>
        <v>190.4</v>
      </c>
      <c r="L199" s="40" t="n">
        <f aca="false">J199+K199</f>
        <v>271.2</v>
      </c>
      <c r="M199" s="40" t="n">
        <f aca="false">ROUND(L199*(1+$M$4),2)</f>
        <v>341.77</v>
      </c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F199" s="41"/>
      <c r="AG199" s="41"/>
      <c r="AH199" s="41"/>
      <c r="AI199" s="41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</row>
    <row r="200" customFormat="false" ht="15" hidden="false" customHeight="false" outlineLevel="0" collapsed="false">
      <c r="A200" s="34" t="s">
        <v>556</v>
      </c>
      <c r="B200" s="35" t="s">
        <v>557</v>
      </c>
      <c r="C200" s="36" t="s">
        <v>558</v>
      </c>
      <c r="D200" s="37" t="s">
        <v>559</v>
      </c>
      <c r="E200" s="38" t="s">
        <v>396</v>
      </c>
      <c r="F200" s="39" t="n">
        <v>20</v>
      </c>
      <c r="G200" s="40" t="n">
        <v>9.76</v>
      </c>
      <c r="H200" s="40" t="n">
        <v>14.09</v>
      </c>
      <c r="I200" s="40" t="n">
        <f aca="false">G200+H200</f>
        <v>23.85</v>
      </c>
      <c r="J200" s="40" t="n">
        <f aca="false">G200*F200</f>
        <v>195.2</v>
      </c>
      <c r="K200" s="40" t="n">
        <f aca="false">H200*F200</f>
        <v>281.8</v>
      </c>
      <c r="L200" s="40" t="n">
        <f aca="false">J200+K200</f>
        <v>477</v>
      </c>
      <c r="M200" s="40" t="n">
        <f aca="false">ROUND(L200*(1+$M$4),2)</f>
        <v>601.12</v>
      </c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F200" s="41"/>
      <c r="AG200" s="41"/>
      <c r="AH200" s="41"/>
      <c r="AI200" s="41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</row>
    <row r="201" customFormat="false" ht="15" hidden="false" customHeight="false" outlineLevel="0" collapsed="false">
      <c r="A201" s="34" t="s">
        <v>560</v>
      </c>
      <c r="B201" s="35" t="s">
        <v>561</v>
      </c>
      <c r="C201" s="36" t="s">
        <v>562</v>
      </c>
      <c r="D201" s="37" t="s">
        <v>563</v>
      </c>
      <c r="E201" s="38" t="s">
        <v>14</v>
      </c>
      <c r="F201" s="39" t="n">
        <v>2</v>
      </c>
      <c r="G201" s="40" t="n">
        <v>2.75</v>
      </c>
      <c r="H201" s="40" t="n">
        <v>3</v>
      </c>
      <c r="I201" s="40" t="n">
        <f aca="false">G201+H201</f>
        <v>5.75</v>
      </c>
      <c r="J201" s="40" t="n">
        <f aca="false">G201*F201</f>
        <v>5.5</v>
      </c>
      <c r="K201" s="40" t="n">
        <f aca="false">H201*F201</f>
        <v>6</v>
      </c>
      <c r="L201" s="40" t="n">
        <f aca="false">J201+K201</f>
        <v>11.5</v>
      </c>
      <c r="M201" s="40" t="n">
        <f aca="false">ROUND(L201*(1+$M$4),2)</f>
        <v>14.49</v>
      </c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F201" s="41"/>
      <c r="AG201" s="41"/>
      <c r="AH201" s="41"/>
      <c r="AI201" s="41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</row>
    <row r="202" customFormat="false" ht="15" hidden="false" customHeight="false" outlineLevel="0" collapsed="false">
      <c r="A202" s="34" t="s">
        <v>564</v>
      </c>
      <c r="B202" s="35" t="s">
        <v>565</v>
      </c>
      <c r="C202" s="36" t="s">
        <v>566</v>
      </c>
      <c r="D202" s="37" t="s">
        <v>567</v>
      </c>
      <c r="E202" s="38" t="s">
        <v>14</v>
      </c>
      <c r="F202" s="39" t="n">
        <v>1</v>
      </c>
      <c r="G202" s="40" t="n">
        <v>34.26</v>
      </c>
      <c r="H202" s="40" t="n">
        <v>4.06</v>
      </c>
      <c r="I202" s="40" t="n">
        <f aca="false">G202+H202</f>
        <v>38.32</v>
      </c>
      <c r="J202" s="40" t="n">
        <f aca="false">G202*F202</f>
        <v>34.26</v>
      </c>
      <c r="K202" s="40" t="n">
        <f aca="false">H202*F202</f>
        <v>4.06</v>
      </c>
      <c r="L202" s="40" t="n">
        <f aca="false">J202+K202</f>
        <v>38.32</v>
      </c>
      <c r="M202" s="40" t="n">
        <f aca="false">ROUND(L202*(1+$M$4),2)</f>
        <v>48.29</v>
      </c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F202" s="41"/>
      <c r="AG202" s="41"/>
      <c r="AH202" s="41"/>
      <c r="AI202" s="41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</row>
    <row r="203" customFormat="false" ht="15" hidden="false" customHeight="false" outlineLevel="0" collapsed="false">
      <c r="A203" s="34" t="s">
        <v>568</v>
      </c>
      <c r="B203" s="35" t="s">
        <v>561</v>
      </c>
      <c r="C203" s="36" t="s">
        <v>569</v>
      </c>
      <c r="D203" s="37" t="s">
        <v>570</v>
      </c>
      <c r="E203" s="38" t="s">
        <v>14</v>
      </c>
      <c r="F203" s="39" t="n">
        <v>5</v>
      </c>
      <c r="G203" s="40" t="n">
        <v>3.12</v>
      </c>
      <c r="H203" s="40" t="n">
        <v>4.87</v>
      </c>
      <c r="I203" s="40" t="n">
        <f aca="false">G203+H203</f>
        <v>7.99</v>
      </c>
      <c r="J203" s="40" t="n">
        <f aca="false">G203*F203</f>
        <v>15.6</v>
      </c>
      <c r="K203" s="40" t="n">
        <f aca="false">H203*F203</f>
        <v>24.35</v>
      </c>
      <c r="L203" s="40" t="n">
        <f aca="false">J203+K203</f>
        <v>39.95</v>
      </c>
      <c r="M203" s="40" t="n">
        <f aca="false">ROUND(L203*(1+$M$4),2)</f>
        <v>50.34</v>
      </c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F203" s="41"/>
      <c r="AG203" s="41"/>
      <c r="AH203" s="41"/>
      <c r="AI203" s="41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</row>
    <row r="204" customFormat="false" ht="15" hidden="false" customHeight="false" outlineLevel="0" collapsed="false">
      <c r="A204" s="34" t="s">
        <v>571</v>
      </c>
      <c r="B204" s="35" t="s">
        <v>561</v>
      </c>
      <c r="C204" s="36" t="s">
        <v>572</v>
      </c>
      <c r="D204" s="37" t="s">
        <v>573</v>
      </c>
      <c r="E204" s="38" t="s">
        <v>14</v>
      </c>
      <c r="F204" s="39" t="n">
        <v>1</v>
      </c>
      <c r="G204" s="40" t="n">
        <v>4.63</v>
      </c>
      <c r="H204" s="40" t="n">
        <v>6.49</v>
      </c>
      <c r="I204" s="40" t="n">
        <f aca="false">G204+H204</f>
        <v>11.12</v>
      </c>
      <c r="J204" s="40" t="n">
        <f aca="false">G204*F204</f>
        <v>4.63</v>
      </c>
      <c r="K204" s="40" t="n">
        <f aca="false">H204*F204</f>
        <v>6.49</v>
      </c>
      <c r="L204" s="40" t="n">
        <f aca="false">J204+K204</f>
        <v>11.12</v>
      </c>
      <c r="M204" s="40" t="n">
        <f aca="false">ROUND(L204*(1+$M$4),2)</f>
        <v>14.01</v>
      </c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F204" s="41"/>
      <c r="AG204" s="41"/>
      <c r="AH204" s="41"/>
      <c r="AI204" s="41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</row>
    <row r="205" customFormat="false" ht="15" hidden="false" customHeight="false" outlineLevel="0" collapsed="false">
      <c r="A205" s="34" t="s">
        <v>574</v>
      </c>
      <c r="B205" s="35" t="s">
        <v>575</v>
      </c>
      <c r="C205" s="36" t="s">
        <v>576</v>
      </c>
      <c r="D205" s="37" t="s">
        <v>577</v>
      </c>
      <c r="E205" s="38" t="s">
        <v>14</v>
      </c>
      <c r="F205" s="39" t="n">
        <v>1</v>
      </c>
      <c r="G205" s="40" t="n">
        <v>71.36</v>
      </c>
      <c r="H205" s="40" t="n">
        <v>3.9</v>
      </c>
      <c r="I205" s="40" t="n">
        <f aca="false">G205+H205</f>
        <v>75.26</v>
      </c>
      <c r="J205" s="40" t="n">
        <f aca="false">G205*F205</f>
        <v>71.36</v>
      </c>
      <c r="K205" s="40" t="n">
        <f aca="false">H205*F205</f>
        <v>3.9</v>
      </c>
      <c r="L205" s="40" t="n">
        <f aca="false">J205+K205</f>
        <v>75.26</v>
      </c>
      <c r="M205" s="40" t="n">
        <f aca="false">ROUND(L205*(1+$M$4),2)</f>
        <v>94.84</v>
      </c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F205" s="41"/>
      <c r="AG205" s="41"/>
      <c r="AH205" s="41"/>
      <c r="AI205" s="41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</row>
    <row r="206" customFormat="false" ht="15" hidden="false" customHeight="false" outlineLevel="0" collapsed="false">
      <c r="A206" s="34" t="s">
        <v>578</v>
      </c>
      <c r="B206" s="35" t="s">
        <v>579</v>
      </c>
      <c r="C206" s="36" t="s">
        <v>580</v>
      </c>
      <c r="D206" s="37" t="s">
        <v>581</v>
      </c>
      <c r="E206" s="38" t="s">
        <v>14</v>
      </c>
      <c r="F206" s="39" t="n">
        <v>1</v>
      </c>
      <c r="G206" s="40" t="n">
        <v>551.67</v>
      </c>
      <c r="H206" s="40" t="n">
        <v>88.97</v>
      </c>
      <c r="I206" s="40" t="n">
        <f aca="false">G206+H206</f>
        <v>640.64</v>
      </c>
      <c r="J206" s="40" t="n">
        <f aca="false">G206*F206</f>
        <v>551.67</v>
      </c>
      <c r="K206" s="40" t="n">
        <f aca="false">H206*F206</f>
        <v>88.97</v>
      </c>
      <c r="L206" s="40" t="n">
        <f aca="false">J206+K206</f>
        <v>640.64</v>
      </c>
      <c r="M206" s="40" t="n">
        <f aca="false">ROUND(L206*(1+$M$4),2)</f>
        <v>807.33</v>
      </c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F206" s="41"/>
      <c r="AG206" s="41"/>
      <c r="AH206" s="41"/>
      <c r="AI206" s="41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</row>
    <row r="207" customFormat="false" ht="15" hidden="false" customHeight="false" outlineLevel="0" collapsed="false">
      <c r="A207" s="34" t="s">
        <v>582</v>
      </c>
      <c r="B207" s="35" t="s">
        <v>583</v>
      </c>
      <c r="C207" s="36" t="s">
        <v>584</v>
      </c>
      <c r="D207" s="37" t="s">
        <v>585</v>
      </c>
      <c r="E207" s="38" t="s">
        <v>14</v>
      </c>
      <c r="F207" s="39" t="n">
        <v>1</v>
      </c>
      <c r="G207" s="40" t="n">
        <v>73.02</v>
      </c>
      <c r="H207" s="40" t="n">
        <v>9.47</v>
      </c>
      <c r="I207" s="40" t="n">
        <f aca="false">G207+H207</f>
        <v>82.49</v>
      </c>
      <c r="J207" s="40" t="n">
        <f aca="false">G207*F207</f>
        <v>73.02</v>
      </c>
      <c r="K207" s="40" t="n">
        <f aca="false">H207*F207</f>
        <v>9.47</v>
      </c>
      <c r="L207" s="40" t="n">
        <f aca="false">J207+K207</f>
        <v>82.49</v>
      </c>
      <c r="M207" s="40" t="n">
        <f aca="false">ROUND(L207*(1+$M$4),2)</f>
        <v>103.95</v>
      </c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F207" s="41"/>
      <c r="AG207" s="41"/>
      <c r="AH207" s="41"/>
      <c r="AI207" s="41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</row>
    <row r="208" customFormat="false" ht="15" hidden="false" customHeight="false" outlineLevel="0" collapsed="false">
      <c r="A208" s="76" t="s">
        <v>586</v>
      </c>
      <c r="B208" s="77" t="s">
        <v>587</v>
      </c>
      <c r="C208" s="76"/>
      <c r="D208" s="78"/>
      <c r="E208" s="79"/>
      <c r="F208" s="80"/>
      <c r="G208" s="81"/>
      <c r="H208" s="81"/>
      <c r="I208" s="81"/>
      <c r="J208" s="81"/>
      <c r="K208" s="81"/>
      <c r="L208" s="81"/>
      <c r="M208" s="81"/>
      <c r="N208" s="66"/>
      <c r="O208" s="66"/>
      <c r="P208" s="66"/>
      <c r="Q208" s="66"/>
      <c r="R208" s="66"/>
      <c r="S208" s="66"/>
      <c r="T208" s="66"/>
      <c r="U208" s="66"/>
      <c r="V208" s="66"/>
      <c r="W208" s="66"/>
      <c r="X208" s="66"/>
      <c r="Y208" s="66"/>
      <c r="Z208" s="66"/>
      <c r="AA208" s="66"/>
      <c r="AB208" s="66"/>
      <c r="AC208" s="66"/>
      <c r="AD208" s="66"/>
      <c r="AE208" s="66"/>
      <c r="AF208" s="66"/>
      <c r="AG208" s="66"/>
      <c r="AH208" s="66"/>
      <c r="AI208" s="66"/>
      <c r="AJ208" s="66"/>
      <c r="AK208" s="66"/>
      <c r="AL208" s="66"/>
      <c r="AM208" s="66"/>
      <c r="AN208" s="66"/>
      <c r="AO208" s="66"/>
      <c r="AP208" s="66"/>
      <c r="AQ208" s="66"/>
      <c r="AR208" s="66"/>
      <c r="AS208" s="66"/>
      <c r="AT208" s="66"/>
      <c r="AU208" s="66"/>
      <c r="AV208" s="66"/>
      <c r="AW208" s="66"/>
      <c r="AX208" s="66"/>
      <c r="AY208" s="66"/>
      <c r="AZ208" s="66"/>
    </row>
    <row r="209" customFormat="false" ht="15" hidden="false" customHeight="false" outlineLevel="0" collapsed="false">
      <c r="A209" s="34" t="s">
        <v>588</v>
      </c>
      <c r="B209" s="35" t="s">
        <v>589</v>
      </c>
      <c r="C209" s="36" t="s">
        <v>590</v>
      </c>
      <c r="D209" s="37" t="s">
        <v>591</v>
      </c>
      <c r="E209" s="38" t="s">
        <v>396</v>
      </c>
      <c r="F209" s="39" t="n">
        <v>20</v>
      </c>
      <c r="G209" s="40" t="n">
        <v>0.09</v>
      </c>
      <c r="H209" s="40" t="n">
        <v>0.39</v>
      </c>
      <c r="I209" s="40" t="n">
        <f aca="false">G209+H209</f>
        <v>0.48</v>
      </c>
      <c r="J209" s="40" t="n">
        <f aca="false">G209*F209</f>
        <v>1.8</v>
      </c>
      <c r="K209" s="40" t="n">
        <f aca="false">H209*F209</f>
        <v>7.8</v>
      </c>
      <c r="L209" s="40" t="n">
        <f aca="false">J209+K209</f>
        <v>9.6</v>
      </c>
      <c r="M209" s="40" t="n">
        <f aca="false">ROUND(L209*(1+$M$4),2)</f>
        <v>12.1</v>
      </c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F209" s="41"/>
      <c r="AG209" s="41"/>
      <c r="AH209" s="41"/>
      <c r="AI209" s="41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</row>
    <row r="210" customFormat="false" ht="15" hidden="false" customHeight="false" outlineLevel="0" collapsed="false">
      <c r="A210" s="34" t="s">
        <v>592</v>
      </c>
      <c r="B210" s="35" t="s">
        <v>593</v>
      </c>
      <c r="C210" s="36" t="s">
        <v>550</v>
      </c>
      <c r="D210" s="37" t="s">
        <v>594</v>
      </c>
      <c r="E210" s="38" t="s">
        <v>396</v>
      </c>
      <c r="F210" s="39" t="n">
        <v>20</v>
      </c>
      <c r="G210" s="40" t="n">
        <v>3.1</v>
      </c>
      <c r="H210" s="40" t="n">
        <v>10.58</v>
      </c>
      <c r="I210" s="40" t="n">
        <f aca="false">G210+H210</f>
        <v>13.68</v>
      </c>
      <c r="J210" s="40" t="n">
        <f aca="false">G210*F210</f>
        <v>62</v>
      </c>
      <c r="K210" s="40" t="n">
        <f aca="false">H210*F210</f>
        <v>211.6</v>
      </c>
      <c r="L210" s="40" t="n">
        <f aca="false">J210+K210</f>
        <v>273.6</v>
      </c>
      <c r="M210" s="40" t="n">
        <f aca="false">ROUND(L210*(1+$M$4),2)</f>
        <v>344.79</v>
      </c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F210" s="41"/>
      <c r="AG210" s="41"/>
      <c r="AH210" s="41"/>
      <c r="AI210" s="41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</row>
    <row r="211" customFormat="false" ht="15" hidden="false" customHeight="false" outlineLevel="0" collapsed="false">
      <c r="A211" s="34" t="s">
        <v>595</v>
      </c>
      <c r="B211" s="35" t="s">
        <v>596</v>
      </c>
      <c r="C211" s="36" t="s">
        <v>554</v>
      </c>
      <c r="D211" s="37" t="s">
        <v>597</v>
      </c>
      <c r="E211" s="38" t="s">
        <v>396</v>
      </c>
      <c r="F211" s="39" t="n">
        <v>20</v>
      </c>
      <c r="G211" s="40" t="n">
        <v>4.04</v>
      </c>
      <c r="H211" s="40" t="n">
        <v>9.52</v>
      </c>
      <c r="I211" s="40" t="n">
        <f aca="false">G211+H211</f>
        <v>13.56</v>
      </c>
      <c r="J211" s="40" t="n">
        <f aca="false">G211*F211</f>
        <v>80.8</v>
      </c>
      <c r="K211" s="40" t="n">
        <f aca="false">H211*F211</f>
        <v>190.4</v>
      </c>
      <c r="L211" s="40" t="n">
        <f aca="false">J211+K211</f>
        <v>271.2</v>
      </c>
      <c r="M211" s="40" t="n">
        <f aca="false">ROUND(L211*(1+$M$4),2)</f>
        <v>341.77</v>
      </c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F211" s="41"/>
      <c r="AG211" s="41"/>
      <c r="AH211" s="41"/>
      <c r="AI211" s="41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</row>
    <row r="212" customFormat="false" ht="15" hidden="false" customHeight="false" outlineLevel="0" collapsed="false">
      <c r="A212" s="34" t="s">
        <v>598</v>
      </c>
      <c r="B212" s="35" t="s">
        <v>599</v>
      </c>
      <c r="C212" s="36" t="s">
        <v>600</v>
      </c>
      <c r="D212" s="37" t="s">
        <v>601</v>
      </c>
      <c r="E212" s="38" t="s">
        <v>396</v>
      </c>
      <c r="F212" s="39" t="n">
        <v>15</v>
      </c>
      <c r="G212" s="40" t="n">
        <v>9.76</v>
      </c>
      <c r="H212" s="40" t="n">
        <v>14.09</v>
      </c>
      <c r="I212" s="40" t="n">
        <f aca="false">G212+H212</f>
        <v>23.85</v>
      </c>
      <c r="J212" s="40" t="n">
        <f aca="false">G212*F212</f>
        <v>146.4</v>
      </c>
      <c r="K212" s="40" t="n">
        <f aca="false">H212*F212</f>
        <v>211.35</v>
      </c>
      <c r="L212" s="40" t="n">
        <f aca="false">J212+K212</f>
        <v>357.75</v>
      </c>
      <c r="M212" s="40" t="n">
        <f aca="false">ROUND(L212*(1+$M$4),2)</f>
        <v>450.84</v>
      </c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F212" s="41"/>
      <c r="AG212" s="41"/>
      <c r="AH212" s="41"/>
      <c r="AI212" s="41"/>
      <c r="AJ212" s="42"/>
      <c r="AK212" s="42"/>
      <c r="AL212" s="42"/>
      <c r="AM212" s="42"/>
      <c r="AN212" s="42"/>
      <c r="AO212" s="42"/>
      <c r="AP212" s="42"/>
      <c r="AQ212" s="42"/>
      <c r="AR212" s="42"/>
      <c r="AS212" s="42"/>
      <c r="AT212" s="42"/>
      <c r="AU212" s="42"/>
      <c r="AV212" s="42"/>
      <c r="AW212" s="42"/>
      <c r="AX212" s="42"/>
      <c r="AY212" s="42"/>
      <c r="AZ212" s="42"/>
    </row>
    <row r="213" customFormat="false" ht="15" hidden="false" customHeight="false" outlineLevel="0" collapsed="false">
      <c r="A213" s="34" t="s">
        <v>602</v>
      </c>
      <c r="B213" s="35" t="s">
        <v>599</v>
      </c>
      <c r="C213" s="36" t="s">
        <v>603</v>
      </c>
      <c r="D213" s="37" t="s">
        <v>604</v>
      </c>
      <c r="E213" s="38" t="s">
        <v>396</v>
      </c>
      <c r="F213" s="39" t="n">
        <v>12</v>
      </c>
      <c r="G213" s="40" t="n">
        <v>19.16</v>
      </c>
      <c r="H213" s="40" t="n">
        <v>8.29</v>
      </c>
      <c r="I213" s="40" t="n">
        <f aca="false">G213+H213</f>
        <v>27.45</v>
      </c>
      <c r="J213" s="40" t="n">
        <f aca="false">G213*F213</f>
        <v>229.92</v>
      </c>
      <c r="K213" s="40" t="n">
        <f aca="false">H213*F213</f>
        <v>99.48</v>
      </c>
      <c r="L213" s="40" t="n">
        <f aca="false">J213+K213</f>
        <v>329.4</v>
      </c>
      <c r="M213" s="40" t="n">
        <f aca="false">ROUND(L213*(1+$M$4),2)</f>
        <v>415.11</v>
      </c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F213" s="41"/>
      <c r="AG213" s="41"/>
      <c r="AH213" s="41"/>
      <c r="AI213" s="41"/>
      <c r="AJ213" s="42"/>
      <c r="AK213" s="42"/>
      <c r="AL213" s="42"/>
      <c r="AM213" s="42"/>
      <c r="AN213" s="42"/>
      <c r="AO213" s="42"/>
      <c r="AP213" s="42"/>
      <c r="AQ213" s="42"/>
      <c r="AR213" s="42"/>
      <c r="AS213" s="42"/>
      <c r="AT213" s="42"/>
      <c r="AU213" s="42"/>
      <c r="AV213" s="42"/>
      <c r="AW213" s="42"/>
      <c r="AX213" s="42"/>
      <c r="AY213" s="42"/>
      <c r="AZ213" s="42"/>
    </row>
    <row r="214" customFormat="false" ht="15" hidden="false" customHeight="false" outlineLevel="0" collapsed="false">
      <c r="A214" s="34" t="s">
        <v>605</v>
      </c>
      <c r="B214" s="35" t="s">
        <v>606</v>
      </c>
      <c r="C214" s="36" t="s">
        <v>607</v>
      </c>
      <c r="D214" s="37" t="s">
        <v>608</v>
      </c>
      <c r="E214" s="38" t="s">
        <v>14</v>
      </c>
      <c r="F214" s="39" t="n">
        <v>8</v>
      </c>
      <c r="G214" s="40" t="n">
        <v>3.29</v>
      </c>
      <c r="H214" s="40" t="n">
        <v>3.52</v>
      </c>
      <c r="I214" s="40" t="n">
        <f aca="false">G214+H214</f>
        <v>6.81</v>
      </c>
      <c r="J214" s="40" t="n">
        <f aca="false">G214*F214</f>
        <v>26.32</v>
      </c>
      <c r="K214" s="40" t="n">
        <f aca="false">H214*F214</f>
        <v>28.16</v>
      </c>
      <c r="L214" s="40" t="n">
        <f aca="false">J214+K214</f>
        <v>54.48</v>
      </c>
      <c r="M214" s="40" t="n">
        <f aca="false">ROUND(L214*(1+$M$4),2)</f>
        <v>68.66</v>
      </c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F214" s="41"/>
      <c r="AG214" s="41"/>
      <c r="AH214" s="41"/>
      <c r="AI214" s="41"/>
      <c r="AJ214" s="42"/>
      <c r="AK214" s="42"/>
      <c r="AL214" s="42"/>
      <c r="AM214" s="42"/>
      <c r="AN214" s="42"/>
      <c r="AO214" s="42"/>
      <c r="AP214" s="42"/>
      <c r="AQ214" s="42"/>
      <c r="AR214" s="42"/>
      <c r="AS214" s="42"/>
      <c r="AT214" s="42"/>
      <c r="AU214" s="42"/>
      <c r="AV214" s="42"/>
      <c r="AW214" s="42"/>
      <c r="AX214" s="42"/>
      <c r="AY214" s="42"/>
      <c r="AZ214" s="42"/>
    </row>
    <row r="215" customFormat="false" ht="15" hidden="false" customHeight="false" outlineLevel="0" collapsed="false">
      <c r="A215" s="34" t="s">
        <v>609</v>
      </c>
      <c r="B215" s="35" t="s">
        <v>606</v>
      </c>
      <c r="C215" s="36" t="s">
        <v>610</v>
      </c>
      <c r="D215" s="37" t="s">
        <v>611</v>
      </c>
      <c r="E215" s="38" t="s">
        <v>14</v>
      </c>
      <c r="F215" s="39" t="n">
        <v>2</v>
      </c>
      <c r="G215" s="40" t="n">
        <v>11.68</v>
      </c>
      <c r="H215" s="40" t="n">
        <v>2.42</v>
      </c>
      <c r="I215" s="40" t="n">
        <f aca="false">G215+H215</f>
        <v>14.1</v>
      </c>
      <c r="J215" s="40" t="n">
        <f aca="false">G215*F215</f>
        <v>23.36</v>
      </c>
      <c r="K215" s="40" t="n">
        <f aca="false">H215*F215</f>
        <v>4.84</v>
      </c>
      <c r="L215" s="40" t="n">
        <f aca="false">J215+K215</f>
        <v>28.2</v>
      </c>
      <c r="M215" s="40" t="n">
        <f aca="false">ROUND(L215*(1+$M$4),2)</f>
        <v>35.54</v>
      </c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F215" s="41"/>
      <c r="AG215" s="41"/>
      <c r="AH215" s="41"/>
      <c r="AI215" s="41"/>
      <c r="AJ215" s="42"/>
      <c r="AK215" s="42"/>
      <c r="AL215" s="42"/>
      <c r="AM215" s="42"/>
      <c r="AN215" s="42"/>
      <c r="AO215" s="42"/>
      <c r="AP215" s="42"/>
      <c r="AQ215" s="42"/>
      <c r="AR215" s="42"/>
      <c r="AS215" s="42"/>
      <c r="AT215" s="42"/>
      <c r="AU215" s="42"/>
      <c r="AV215" s="42"/>
      <c r="AW215" s="42"/>
      <c r="AX215" s="42"/>
      <c r="AY215" s="42"/>
      <c r="AZ215" s="42"/>
    </row>
    <row r="216" customFormat="false" ht="15" hidden="false" customHeight="false" outlineLevel="0" collapsed="false">
      <c r="A216" s="34" t="s">
        <v>612</v>
      </c>
      <c r="B216" s="35" t="s">
        <v>606</v>
      </c>
      <c r="C216" s="36" t="s">
        <v>613</v>
      </c>
      <c r="D216" s="37" t="s">
        <v>614</v>
      </c>
      <c r="E216" s="38" t="s">
        <v>14</v>
      </c>
      <c r="F216" s="39" t="n">
        <v>3</v>
      </c>
      <c r="G216" s="40" t="n">
        <v>82.77</v>
      </c>
      <c r="H216" s="40" t="n">
        <v>8.17</v>
      </c>
      <c r="I216" s="40" t="n">
        <f aca="false">G216+H216</f>
        <v>90.94</v>
      </c>
      <c r="J216" s="40" t="n">
        <f aca="false">G216*F216</f>
        <v>248.31</v>
      </c>
      <c r="K216" s="40" t="n">
        <f aca="false">H216*F216</f>
        <v>24.51</v>
      </c>
      <c r="L216" s="40" t="n">
        <f aca="false">J216+K216</f>
        <v>272.82</v>
      </c>
      <c r="M216" s="40" t="n">
        <f aca="false">ROUND(L216*(1+$M$4),2)</f>
        <v>343.81</v>
      </c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1"/>
      <c r="AJ216" s="42"/>
      <c r="AK216" s="42"/>
      <c r="AL216" s="42"/>
      <c r="AM216" s="42"/>
      <c r="AN216" s="42"/>
      <c r="AO216" s="42"/>
      <c r="AP216" s="42"/>
      <c r="AQ216" s="42"/>
      <c r="AR216" s="42"/>
      <c r="AS216" s="42"/>
      <c r="AT216" s="42"/>
      <c r="AU216" s="42"/>
      <c r="AV216" s="42"/>
      <c r="AW216" s="42"/>
      <c r="AX216" s="42"/>
      <c r="AY216" s="42"/>
      <c r="AZ216" s="42"/>
    </row>
    <row r="217" customFormat="false" ht="15" hidden="false" customHeight="false" outlineLevel="0" collapsed="false">
      <c r="A217" s="34" t="s">
        <v>615</v>
      </c>
      <c r="B217" s="35" t="s">
        <v>606</v>
      </c>
      <c r="C217" s="36" t="s">
        <v>616</v>
      </c>
      <c r="D217" s="37" t="s">
        <v>617</v>
      </c>
      <c r="E217" s="38" t="s">
        <v>14</v>
      </c>
      <c r="F217" s="39" t="n">
        <v>1</v>
      </c>
      <c r="G217" s="40" t="n">
        <v>34.26</v>
      </c>
      <c r="H217" s="40" t="n">
        <v>4.06</v>
      </c>
      <c r="I217" s="40" t="n">
        <f aca="false">G217+H217</f>
        <v>38.32</v>
      </c>
      <c r="J217" s="40" t="n">
        <f aca="false">G217*F217</f>
        <v>34.26</v>
      </c>
      <c r="K217" s="40" t="n">
        <f aca="false">H217*F217</f>
        <v>4.06</v>
      </c>
      <c r="L217" s="40" t="n">
        <f aca="false">J217+K217</f>
        <v>38.32</v>
      </c>
      <c r="M217" s="40" t="n">
        <f aca="false">ROUND(L217*(1+$M$4),2)</f>
        <v>48.29</v>
      </c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F217" s="41"/>
      <c r="AG217" s="41"/>
      <c r="AH217" s="41"/>
      <c r="AI217" s="41"/>
      <c r="AJ217" s="42"/>
      <c r="AK217" s="42"/>
      <c r="AL217" s="42"/>
      <c r="AM217" s="42"/>
      <c r="AN217" s="42"/>
      <c r="AO217" s="42"/>
      <c r="AP217" s="42"/>
      <c r="AQ217" s="42"/>
      <c r="AR217" s="42"/>
      <c r="AS217" s="42"/>
      <c r="AT217" s="42"/>
      <c r="AU217" s="42"/>
      <c r="AV217" s="42"/>
      <c r="AW217" s="42"/>
      <c r="AX217" s="42"/>
      <c r="AY217" s="42"/>
      <c r="AZ217" s="42"/>
    </row>
    <row r="218" customFormat="false" ht="15" hidden="false" customHeight="false" outlineLevel="0" collapsed="false">
      <c r="A218" s="34" t="s">
        <v>618</v>
      </c>
      <c r="B218" s="35" t="s">
        <v>606</v>
      </c>
      <c r="C218" s="36" t="s">
        <v>619</v>
      </c>
      <c r="D218" s="37" t="s">
        <v>620</v>
      </c>
      <c r="E218" s="38" t="s">
        <v>14</v>
      </c>
      <c r="F218" s="39" t="n">
        <v>1</v>
      </c>
      <c r="G218" s="40" t="n">
        <v>73.2</v>
      </c>
      <c r="H218" s="40" t="n">
        <v>7.46</v>
      </c>
      <c r="I218" s="40" t="n">
        <f aca="false">G218+H218</f>
        <v>80.66</v>
      </c>
      <c r="J218" s="40" t="n">
        <f aca="false">G218*F218</f>
        <v>73.2</v>
      </c>
      <c r="K218" s="40" t="n">
        <f aca="false">H218*F218</f>
        <v>7.46</v>
      </c>
      <c r="L218" s="40" t="n">
        <f aca="false">J218+K218</f>
        <v>80.66</v>
      </c>
      <c r="M218" s="40" t="n">
        <f aca="false">ROUND(L218*(1+$M$4),2)</f>
        <v>101.65</v>
      </c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F218" s="41"/>
      <c r="AG218" s="41"/>
      <c r="AH218" s="41"/>
      <c r="AI218" s="41"/>
      <c r="AJ218" s="42"/>
      <c r="AK218" s="42"/>
      <c r="AL218" s="42"/>
      <c r="AM218" s="42"/>
      <c r="AN218" s="42"/>
      <c r="AO218" s="42"/>
      <c r="AP218" s="42"/>
      <c r="AQ218" s="42"/>
      <c r="AR218" s="42"/>
      <c r="AS218" s="42"/>
      <c r="AT218" s="42"/>
      <c r="AU218" s="42"/>
      <c r="AV218" s="42"/>
      <c r="AW218" s="42"/>
      <c r="AX218" s="42"/>
      <c r="AY218" s="42"/>
      <c r="AZ218" s="42"/>
    </row>
    <row r="219" customFormat="false" ht="15" hidden="false" customHeight="false" outlineLevel="0" collapsed="false">
      <c r="A219" s="34" t="s">
        <v>621</v>
      </c>
      <c r="B219" s="35" t="s">
        <v>622</v>
      </c>
      <c r="C219" s="36" t="s">
        <v>623</v>
      </c>
      <c r="D219" s="37" t="s">
        <v>624</v>
      </c>
      <c r="E219" s="38" t="s">
        <v>14</v>
      </c>
      <c r="F219" s="39" t="n">
        <v>9</v>
      </c>
      <c r="G219" s="40" t="n">
        <v>3.97</v>
      </c>
      <c r="H219" s="40" t="n">
        <v>5.66</v>
      </c>
      <c r="I219" s="40" t="n">
        <f aca="false">G219+H219</f>
        <v>9.63</v>
      </c>
      <c r="J219" s="40" t="n">
        <f aca="false">G219*F219</f>
        <v>35.73</v>
      </c>
      <c r="K219" s="40" t="n">
        <f aca="false">H219*F219</f>
        <v>50.94</v>
      </c>
      <c r="L219" s="40" t="n">
        <f aca="false">J219+K219</f>
        <v>86.67</v>
      </c>
      <c r="M219" s="40" t="n">
        <f aca="false">ROUND(L219*(1+$M$4),2)</f>
        <v>109.22</v>
      </c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F219" s="41"/>
      <c r="AG219" s="41"/>
      <c r="AH219" s="41"/>
      <c r="AI219" s="41"/>
      <c r="AJ219" s="42"/>
      <c r="AK219" s="42"/>
      <c r="AL219" s="42"/>
      <c r="AM219" s="42"/>
      <c r="AN219" s="42"/>
      <c r="AO219" s="42"/>
      <c r="AP219" s="42"/>
      <c r="AQ219" s="42"/>
      <c r="AR219" s="42"/>
      <c r="AS219" s="42"/>
      <c r="AT219" s="42"/>
      <c r="AU219" s="42"/>
      <c r="AV219" s="42"/>
      <c r="AW219" s="42"/>
      <c r="AX219" s="42"/>
      <c r="AY219" s="42"/>
      <c r="AZ219" s="42"/>
    </row>
    <row r="220" customFormat="false" ht="15" hidden="false" customHeight="false" outlineLevel="0" collapsed="false">
      <c r="A220" s="34" t="s">
        <v>625</v>
      </c>
      <c r="B220" s="35" t="s">
        <v>622</v>
      </c>
      <c r="C220" s="36" t="s">
        <v>626</v>
      </c>
      <c r="D220" s="37" t="s">
        <v>627</v>
      </c>
      <c r="E220" s="38" t="s">
        <v>14</v>
      </c>
      <c r="F220" s="39" t="n">
        <v>1</v>
      </c>
      <c r="G220" s="40" t="n">
        <v>9.96</v>
      </c>
      <c r="H220" s="40" t="n">
        <v>3.88</v>
      </c>
      <c r="I220" s="40" t="n">
        <f aca="false">G220+H220</f>
        <v>13.84</v>
      </c>
      <c r="J220" s="40" t="n">
        <f aca="false">G220*F220</f>
        <v>9.96</v>
      </c>
      <c r="K220" s="40" t="n">
        <f aca="false">H220*F220</f>
        <v>3.88</v>
      </c>
      <c r="L220" s="40" t="n">
        <f aca="false">J220+K220</f>
        <v>13.84</v>
      </c>
      <c r="M220" s="40" t="n">
        <f aca="false">ROUND(L220*(1+$M$4),2)</f>
        <v>17.44</v>
      </c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F220" s="41"/>
      <c r="AG220" s="41"/>
      <c r="AH220" s="41"/>
      <c r="AI220" s="41"/>
      <c r="AJ220" s="42"/>
      <c r="AK220" s="42"/>
      <c r="AL220" s="42"/>
      <c r="AM220" s="42"/>
      <c r="AN220" s="42"/>
      <c r="AO220" s="42"/>
      <c r="AP220" s="42"/>
      <c r="AQ220" s="42"/>
      <c r="AR220" s="42"/>
      <c r="AS220" s="42"/>
      <c r="AT220" s="42"/>
      <c r="AU220" s="42"/>
      <c r="AV220" s="42"/>
      <c r="AW220" s="42"/>
      <c r="AX220" s="42"/>
      <c r="AY220" s="42"/>
      <c r="AZ220" s="42"/>
    </row>
    <row r="221" customFormat="false" ht="15" hidden="false" customHeight="false" outlineLevel="0" collapsed="false">
      <c r="A221" s="34" t="s">
        <v>628</v>
      </c>
      <c r="B221" s="35" t="s">
        <v>622</v>
      </c>
      <c r="C221" s="36" t="s">
        <v>629</v>
      </c>
      <c r="D221" s="37" t="s">
        <v>630</v>
      </c>
      <c r="E221" s="38" t="s">
        <v>14</v>
      </c>
      <c r="F221" s="39" t="n">
        <v>7</v>
      </c>
      <c r="G221" s="40" t="n">
        <v>10.51</v>
      </c>
      <c r="H221" s="40" t="n">
        <v>4.85</v>
      </c>
      <c r="I221" s="40" t="n">
        <f aca="false">G221+H221</f>
        <v>15.36</v>
      </c>
      <c r="J221" s="40" t="n">
        <f aca="false">G221*F221</f>
        <v>73.57</v>
      </c>
      <c r="K221" s="40" t="n">
        <f aca="false">H221*F221</f>
        <v>33.95</v>
      </c>
      <c r="L221" s="40" t="n">
        <f aca="false">J221+K221</f>
        <v>107.52</v>
      </c>
      <c r="M221" s="40" t="n">
        <f aca="false">ROUND(L221*(1+$M$4),2)</f>
        <v>135.5</v>
      </c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F221" s="41"/>
      <c r="AG221" s="41"/>
      <c r="AH221" s="41"/>
      <c r="AI221" s="41"/>
      <c r="AJ221" s="42"/>
      <c r="AK221" s="42"/>
      <c r="AL221" s="42"/>
      <c r="AM221" s="42"/>
      <c r="AN221" s="42"/>
      <c r="AO221" s="42"/>
      <c r="AP221" s="42"/>
      <c r="AQ221" s="42"/>
      <c r="AR221" s="42"/>
      <c r="AS221" s="42"/>
      <c r="AT221" s="42"/>
      <c r="AU221" s="42"/>
      <c r="AV221" s="42"/>
      <c r="AW221" s="42"/>
      <c r="AX221" s="42"/>
      <c r="AY221" s="42"/>
      <c r="AZ221" s="42"/>
    </row>
    <row r="222" customFormat="false" ht="15" hidden="false" customHeight="false" outlineLevel="0" collapsed="false">
      <c r="A222" s="34" t="s">
        <v>631</v>
      </c>
      <c r="B222" s="35" t="s">
        <v>622</v>
      </c>
      <c r="C222" s="36" t="s">
        <v>632</v>
      </c>
      <c r="D222" s="37" t="s">
        <v>633</v>
      </c>
      <c r="E222" s="38" t="s">
        <v>14</v>
      </c>
      <c r="F222" s="39" t="n">
        <v>4</v>
      </c>
      <c r="G222" s="40" t="n">
        <v>5.87</v>
      </c>
      <c r="H222" s="40" t="n">
        <v>7.51</v>
      </c>
      <c r="I222" s="40" t="n">
        <f aca="false">G222+H222</f>
        <v>13.38</v>
      </c>
      <c r="J222" s="40" t="n">
        <f aca="false">G222*F222</f>
        <v>23.48</v>
      </c>
      <c r="K222" s="40" t="n">
        <f aca="false">H222*F222</f>
        <v>30.04</v>
      </c>
      <c r="L222" s="40" t="n">
        <f aca="false">J222+K222</f>
        <v>53.52</v>
      </c>
      <c r="M222" s="40" t="n">
        <f aca="false">ROUND(L222*(1+$M$4),2)</f>
        <v>67.45</v>
      </c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F222" s="41"/>
      <c r="AG222" s="41"/>
      <c r="AH222" s="41"/>
      <c r="AI222" s="41"/>
      <c r="AJ222" s="42"/>
      <c r="AK222" s="42"/>
      <c r="AL222" s="42"/>
      <c r="AM222" s="42"/>
      <c r="AN222" s="42"/>
      <c r="AO222" s="42"/>
      <c r="AP222" s="42"/>
      <c r="AQ222" s="42"/>
      <c r="AR222" s="42"/>
      <c r="AS222" s="42"/>
      <c r="AT222" s="42"/>
      <c r="AU222" s="42"/>
      <c r="AV222" s="42"/>
      <c r="AW222" s="42"/>
      <c r="AX222" s="42"/>
      <c r="AY222" s="42"/>
      <c r="AZ222" s="42"/>
    </row>
    <row r="223" customFormat="false" ht="15" hidden="false" customHeight="false" outlineLevel="0" collapsed="false">
      <c r="A223" s="34" t="s">
        <v>634</v>
      </c>
      <c r="B223" s="35" t="s">
        <v>622</v>
      </c>
      <c r="C223" s="36" t="s">
        <v>635</v>
      </c>
      <c r="D223" s="37" t="s">
        <v>636</v>
      </c>
      <c r="E223" s="38" t="s">
        <v>14</v>
      </c>
      <c r="F223" s="39" t="n">
        <v>1</v>
      </c>
      <c r="G223" s="40" t="n">
        <v>16.35</v>
      </c>
      <c r="H223" s="40" t="n">
        <v>5.18</v>
      </c>
      <c r="I223" s="40" t="n">
        <f aca="false">G223+H223</f>
        <v>21.53</v>
      </c>
      <c r="J223" s="40" t="n">
        <f aca="false">G223*F223</f>
        <v>16.35</v>
      </c>
      <c r="K223" s="40" t="n">
        <f aca="false">H223*F223</f>
        <v>5.18</v>
      </c>
      <c r="L223" s="40" t="n">
        <f aca="false">J223+K223</f>
        <v>21.53</v>
      </c>
      <c r="M223" s="40" t="n">
        <f aca="false">ROUND(L223*(1+$M$4),2)</f>
        <v>27.13</v>
      </c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F223" s="41"/>
      <c r="AG223" s="41"/>
      <c r="AH223" s="41"/>
      <c r="AI223" s="41"/>
      <c r="AJ223" s="42"/>
      <c r="AK223" s="42"/>
      <c r="AL223" s="42"/>
      <c r="AM223" s="42"/>
      <c r="AN223" s="42"/>
      <c r="AO223" s="42"/>
      <c r="AP223" s="42"/>
      <c r="AQ223" s="42"/>
      <c r="AR223" s="42"/>
      <c r="AS223" s="42"/>
      <c r="AT223" s="42"/>
      <c r="AU223" s="42"/>
      <c r="AV223" s="42"/>
      <c r="AW223" s="42"/>
      <c r="AX223" s="42"/>
      <c r="AY223" s="42"/>
      <c r="AZ223" s="42"/>
    </row>
    <row r="224" customFormat="false" ht="15" hidden="false" customHeight="false" outlineLevel="0" collapsed="false">
      <c r="A224" s="34" t="s">
        <v>637</v>
      </c>
      <c r="B224" s="35" t="s">
        <v>622</v>
      </c>
      <c r="C224" s="36" t="s">
        <v>638</v>
      </c>
      <c r="D224" s="37" t="s">
        <v>639</v>
      </c>
      <c r="E224" s="38" t="s">
        <v>14</v>
      </c>
      <c r="F224" s="39" t="n">
        <v>2</v>
      </c>
      <c r="G224" s="40" t="n">
        <v>7.52</v>
      </c>
      <c r="H224" s="40" t="n">
        <v>4.11</v>
      </c>
      <c r="I224" s="40" t="n">
        <f aca="false">G224+H224</f>
        <v>11.63</v>
      </c>
      <c r="J224" s="40" t="n">
        <f aca="false">G224*F224</f>
        <v>15.04</v>
      </c>
      <c r="K224" s="40" t="n">
        <f aca="false">H224*F224</f>
        <v>8.22</v>
      </c>
      <c r="L224" s="40" t="n">
        <f aca="false">J224+K224</f>
        <v>23.26</v>
      </c>
      <c r="M224" s="40" t="n">
        <f aca="false">ROUND(L224*(1+$M$4),2)</f>
        <v>29.31</v>
      </c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F224" s="41"/>
      <c r="AG224" s="41"/>
      <c r="AH224" s="41"/>
      <c r="AI224" s="41"/>
      <c r="AJ224" s="42"/>
      <c r="AK224" s="42"/>
      <c r="AL224" s="42"/>
      <c r="AM224" s="42"/>
      <c r="AN224" s="42"/>
      <c r="AO224" s="42"/>
      <c r="AP224" s="42"/>
      <c r="AQ224" s="42"/>
      <c r="AR224" s="42"/>
      <c r="AS224" s="42"/>
      <c r="AT224" s="42"/>
      <c r="AU224" s="42"/>
      <c r="AV224" s="42"/>
      <c r="AW224" s="42"/>
      <c r="AX224" s="42"/>
      <c r="AY224" s="42"/>
      <c r="AZ224" s="42"/>
    </row>
    <row r="225" customFormat="false" ht="15" hidden="false" customHeight="false" outlineLevel="0" collapsed="false">
      <c r="A225" s="76" t="s">
        <v>640</v>
      </c>
      <c r="B225" s="77" t="s">
        <v>641</v>
      </c>
      <c r="C225" s="76"/>
      <c r="D225" s="78"/>
      <c r="E225" s="79"/>
      <c r="F225" s="79"/>
      <c r="G225" s="81"/>
      <c r="H225" s="81"/>
      <c r="I225" s="81"/>
      <c r="J225" s="81"/>
      <c r="K225" s="81"/>
      <c r="L225" s="81"/>
      <c r="M225" s="81"/>
      <c r="N225" s="66"/>
      <c r="O225" s="66"/>
      <c r="P225" s="66"/>
      <c r="Q225" s="66"/>
      <c r="R225" s="66"/>
      <c r="S225" s="66"/>
      <c r="T225" s="66"/>
      <c r="U225" s="66"/>
      <c r="V225" s="66"/>
      <c r="W225" s="66"/>
      <c r="X225" s="66"/>
      <c r="Y225" s="66"/>
      <c r="Z225" s="66"/>
      <c r="AA225" s="66"/>
      <c r="AB225" s="66"/>
      <c r="AC225" s="66"/>
      <c r="AD225" s="66"/>
      <c r="AE225" s="66"/>
      <c r="AF225" s="66"/>
      <c r="AG225" s="66"/>
      <c r="AH225" s="66"/>
      <c r="AI225" s="66"/>
      <c r="AJ225" s="66"/>
      <c r="AK225" s="66"/>
      <c r="AL225" s="66"/>
      <c r="AM225" s="66"/>
      <c r="AN225" s="66"/>
      <c r="AO225" s="66"/>
      <c r="AP225" s="66"/>
      <c r="AQ225" s="66"/>
      <c r="AR225" s="66"/>
      <c r="AS225" s="66"/>
      <c r="AT225" s="66"/>
      <c r="AU225" s="66"/>
      <c r="AV225" s="66"/>
      <c r="AW225" s="66"/>
      <c r="AX225" s="66"/>
      <c r="AY225" s="66"/>
      <c r="AZ225" s="66"/>
    </row>
    <row r="226" customFormat="false" ht="15" hidden="false" customHeight="false" outlineLevel="0" collapsed="false">
      <c r="A226" s="34" t="s">
        <v>642</v>
      </c>
      <c r="B226" s="35" t="s">
        <v>643</v>
      </c>
      <c r="C226" s="36" t="s">
        <v>644</v>
      </c>
      <c r="D226" s="37" t="s">
        <v>591</v>
      </c>
      <c r="E226" s="38" t="s">
        <v>396</v>
      </c>
      <c r="F226" s="39" t="n">
        <v>20</v>
      </c>
      <c r="G226" s="40" t="n">
        <v>0.09</v>
      </c>
      <c r="H226" s="40" t="n">
        <v>0.39</v>
      </c>
      <c r="I226" s="40" t="n">
        <f aca="false">G226+H226</f>
        <v>0.48</v>
      </c>
      <c r="J226" s="40" t="n">
        <f aca="false">G226*F226</f>
        <v>1.8</v>
      </c>
      <c r="K226" s="40" t="n">
        <f aca="false">H226*F226</f>
        <v>7.8</v>
      </c>
      <c r="L226" s="40" t="n">
        <f aca="false">J226+K226</f>
        <v>9.6</v>
      </c>
      <c r="M226" s="40" t="n">
        <f aca="false">ROUND(L226*(1+$M$4),2)</f>
        <v>12.1</v>
      </c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F226" s="41"/>
      <c r="AG226" s="41"/>
      <c r="AH226" s="41"/>
      <c r="AI226" s="41"/>
      <c r="AJ226" s="42"/>
      <c r="AK226" s="42"/>
      <c r="AL226" s="42"/>
      <c r="AM226" s="42"/>
      <c r="AN226" s="42"/>
      <c r="AO226" s="42"/>
      <c r="AP226" s="42"/>
      <c r="AQ226" s="42"/>
      <c r="AR226" s="42"/>
      <c r="AS226" s="42"/>
      <c r="AT226" s="42"/>
      <c r="AU226" s="42"/>
      <c r="AV226" s="42"/>
      <c r="AW226" s="42"/>
      <c r="AX226" s="42"/>
      <c r="AY226" s="42"/>
      <c r="AZ226" s="42"/>
    </row>
    <row r="227" customFormat="false" ht="15" hidden="false" customHeight="false" outlineLevel="0" collapsed="false">
      <c r="A227" s="34" t="s">
        <v>645</v>
      </c>
      <c r="B227" s="35" t="s">
        <v>646</v>
      </c>
      <c r="C227" s="36" t="s">
        <v>647</v>
      </c>
      <c r="D227" s="37" t="s">
        <v>648</v>
      </c>
      <c r="E227" s="38" t="s">
        <v>32</v>
      </c>
      <c r="F227" s="39" t="n">
        <f aca="false">30*0.2*0.5</f>
        <v>3</v>
      </c>
      <c r="G227" s="40" t="n">
        <v>25.77</v>
      </c>
      <c r="H227" s="40" t="n">
        <v>58.76</v>
      </c>
      <c r="I227" s="40" t="n">
        <f aca="false">G227+H227</f>
        <v>84.53</v>
      </c>
      <c r="J227" s="40" t="n">
        <f aca="false">G227*F227</f>
        <v>77.31</v>
      </c>
      <c r="K227" s="40" t="n">
        <f aca="false">H227*F227</f>
        <v>176.28</v>
      </c>
      <c r="L227" s="40" t="n">
        <f aca="false">J227+K227</f>
        <v>253.59</v>
      </c>
      <c r="M227" s="40" t="n">
        <f aca="false">ROUND(L227*(1+$M$4),2)</f>
        <v>319.57</v>
      </c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F227" s="41"/>
      <c r="AG227" s="41"/>
      <c r="AH227" s="41"/>
      <c r="AI227" s="41"/>
      <c r="AJ227" s="42"/>
      <c r="AK227" s="42"/>
      <c r="AL227" s="42"/>
      <c r="AM227" s="42"/>
      <c r="AN227" s="42"/>
      <c r="AO227" s="42"/>
      <c r="AP227" s="42"/>
      <c r="AQ227" s="42"/>
      <c r="AR227" s="42"/>
      <c r="AS227" s="42"/>
      <c r="AT227" s="42"/>
      <c r="AU227" s="42"/>
      <c r="AV227" s="42"/>
      <c r="AW227" s="42"/>
      <c r="AX227" s="42"/>
      <c r="AY227" s="42"/>
      <c r="AZ227" s="42"/>
    </row>
    <row r="228" customFormat="false" ht="15" hidden="false" customHeight="false" outlineLevel="0" collapsed="false">
      <c r="A228" s="34" t="s">
        <v>649</v>
      </c>
      <c r="B228" s="35" t="s">
        <v>650</v>
      </c>
      <c r="C228" s="36" t="s">
        <v>651</v>
      </c>
      <c r="D228" s="37" t="s">
        <v>652</v>
      </c>
      <c r="E228" s="38" t="s">
        <v>32</v>
      </c>
      <c r="F228" s="39" t="n">
        <v>3</v>
      </c>
      <c r="G228" s="40" t="n">
        <v>15.62</v>
      </c>
      <c r="H228" s="40" t="n">
        <v>35.63</v>
      </c>
      <c r="I228" s="40" t="n">
        <f aca="false">G228+H228</f>
        <v>51.25</v>
      </c>
      <c r="J228" s="40" t="n">
        <f aca="false">G228*F228</f>
        <v>46.86</v>
      </c>
      <c r="K228" s="40" t="n">
        <f aca="false">H228*F228</f>
        <v>106.89</v>
      </c>
      <c r="L228" s="40" t="n">
        <f aca="false">J228+K228</f>
        <v>153.75</v>
      </c>
      <c r="M228" s="40" t="n">
        <f aca="false">ROUND(L228*(1+$M$4),2)</f>
        <v>193.76</v>
      </c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F228" s="41"/>
      <c r="AG228" s="41"/>
      <c r="AH228" s="41"/>
      <c r="AI228" s="41"/>
      <c r="AJ228" s="42"/>
      <c r="AK228" s="42"/>
      <c r="AL228" s="42"/>
      <c r="AM228" s="42"/>
      <c r="AN228" s="42"/>
      <c r="AO228" s="42"/>
      <c r="AP228" s="42"/>
      <c r="AQ228" s="42"/>
      <c r="AR228" s="42"/>
      <c r="AS228" s="42"/>
      <c r="AT228" s="42"/>
      <c r="AU228" s="42"/>
      <c r="AV228" s="42"/>
      <c r="AW228" s="42"/>
      <c r="AX228" s="42"/>
      <c r="AY228" s="42"/>
      <c r="AZ228" s="42"/>
    </row>
    <row r="229" customFormat="false" ht="15" hidden="false" customHeight="false" outlineLevel="0" collapsed="false">
      <c r="A229" s="34" t="s">
        <v>653</v>
      </c>
      <c r="B229" s="35" t="s">
        <v>654</v>
      </c>
      <c r="C229" s="36" t="s">
        <v>655</v>
      </c>
      <c r="D229" s="37" t="s">
        <v>656</v>
      </c>
      <c r="E229" s="38" t="s">
        <v>37</v>
      </c>
      <c r="F229" s="39" t="n">
        <f aca="false">30*0.2</f>
        <v>6</v>
      </c>
      <c r="G229" s="40" t="n">
        <v>66.04</v>
      </c>
      <c r="H229" s="40" t="n">
        <v>3.03</v>
      </c>
      <c r="I229" s="40" t="n">
        <f aca="false">G229+H229</f>
        <v>69.07</v>
      </c>
      <c r="J229" s="40" t="n">
        <f aca="false">G229*F229</f>
        <v>396.24</v>
      </c>
      <c r="K229" s="40" t="n">
        <f aca="false">H229*F229</f>
        <v>18.18</v>
      </c>
      <c r="L229" s="40" t="n">
        <f aca="false">J229+K229</f>
        <v>414.42</v>
      </c>
      <c r="M229" s="40" t="n">
        <f aca="false">ROUND(L229*(1+$M$4),2)</f>
        <v>522.25</v>
      </c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F229" s="41"/>
      <c r="AG229" s="41"/>
      <c r="AH229" s="41"/>
      <c r="AI229" s="41"/>
      <c r="AJ229" s="42"/>
      <c r="AK229" s="42"/>
      <c r="AL229" s="42"/>
      <c r="AM229" s="42"/>
      <c r="AN229" s="42"/>
      <c r="AO229" s="42"/>
      <c r="AP229" s="42"/>
      <c r="AQ229" s="42"/>
      <c r="AR229" s="42"/>
      <c r="AS229" s="42"/>
      <c r="AT229" s="42"/>
      <c r="AU229" s="42"/>
      <c r="AV229" s="42"/>
      <c r="AW229" s="42"/>
      <c r="AX229" s="42"/>
      <c r="AY229" s="42"/>
      <c r="AZ229" s="42"/>
    </row>
    <row r="230" customFormat="false" ht="15" hidden="false" customHeight="false" outlineLevel="0" collapsed="false">
      <c r="A230" s="34" t="s">
        <v>657</v>
      </c>
      <c r="B230" s="35" t="s">
        <v>658</v>
      </c>
      <c r="C230" s="36" t="s">
        <v>659</v>
      </c>
      <c r="D230" s="37" t="s">
        <v>660</v>
      </c>
      <c r="E230" s="38" t="s">
        <v>14</v>
      </c>
      <c r="F230" s="39" t="n">
        <v>2</v>
      </c>
      <c r="G230" s="40" t="n">
        <v>232.74</v>
      </c>
      <c r="H230" s="40" t="n">
        <v>179.86</v>
      </c>
      <c r="I230" s="40" t="n">
        <f aca="false">G230+H230</f>
        <v>412.6</v>
      </c>
      <c r="J230" s="40" t="n">
        <f aca="false">G230*F230</f>
        <v>465.48</v>
      </c>
      <c r="K230" s="40" t="n">
        <f aca="false">H230*F230</f>
        <v>359.72</v>
      </c>
      <c r="L230" s="40" t="n">
        <f aca="false">J230+K230</f>
        <v>825.2</v>
      </c>
      <c r="M230" s="40" t="n">
        <f aca="false">ROUND(L230*(1+$M$4),2)</f>
        <v>1039.92</v>
      </c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F230" s="41"/>
      <c r="AG230" s="41"/>
      <c r="AH230" s="41"/>
      <c r="AI230" s="41"/>
      <c r="AJ230" s="42"/>
      <c r="AK230" s="42"/>
      <c r="AL230" s="42"/>
      <c r="AM230" s="42"/>
      <c r="AN230" s="42"/>
      <c r="AO230" s="42"/>
      <c r="AP230" s="42"/>
      <c r="AQ230" s="42"/>
      <c r="AR230" s="42"/>
      <c r="AS230" s="42"/>
      <c r="AT230" s="42"/>
      <c r="AU230" s="42"/>
      <c r="AV230" s="42"/>
      <c r="AW230" s="42"/>
      <c r="AX230" s="42"/>
      <c r="AY230" s="42"/>
      <c r="AZ230" s="42"/>
    </row>
    <row r="231" customFormat="false" ht="15" hidden="false" customHeight="false" outlineLevel="0" collapsed="false">
      <c r="A231" s="34" t="s">
        <v>661</v>
      </c>
      <c r="B231" s="35" t="s">
        <v>662</v>
      </c>
      <c r="C231" s="36" t="s">
        <v>663</v>
      </c>
      <c r="D231" s="37" t="s">
        <v>664</v>
      </c>
      <c r="E231" s="38" t="s">
        <v>14</v>
      </c>
      <c r="F231" s="39" t="n">
        <v>1</v>
      </c>
      <c r="G231" s="40" t="n">
        <v>341.97</v>
      </c>
      <c r="H231" s="40" t="n">
        <v>10.5</v>
      </c>
      <c r="I231" s="40" t="n">
        <f aca="false">G231+H231</f>
        <v>352.47</v>
      </c>
      <c r="J231" s="40" t="n">
        <f aca="false">G231*F231</f>
        <v>341.97</v>
      </c>
      <c r="K231" s="40" t="n">
        <f aca="false">H231*F231</f>
        <v>10.5</v>
      </c>
      <c r="L231" s="40" t="n">
        <f aca="false">J231+K231</f>
        <v>352.47</v>
      </c>
      <c r="M231" s="40" t="n">
        <f aca="false">ROUND(L231*(1+$M$4),2)</f>
        <v>444.18</v>
      </c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F231" s="41"/>
      <c r="AG231" s="41"/>
      <c r="AH231" s="41"/>
      <c r="AI231" s="41"/>
      <c r="AJ231" s="42"/>
      <c r="AK231" s="42"/>
      <c r="AL231" s="42"/>
      <c r="AM231" s="42"/>
      <c r="AN231" s="42"/>
      <c r="AO231" s="42"/>
      <c r="AP231" s="42"/>
      <c r="AQ231" s="42"/>
      <c r="AR231" s="42"/>
      <c r="AS231" s="42"/>
      <c r="AT231" s="42"/>
      <c r="AU231" s="42"/>
      <c r="AV231" s="42"/>
      <c r="AW231" s="42"/>
      <c r="AX231" s="42"/>
      <c r="AY231" s="42"/>
      <c r="AZ231" s="42"/>
    </row>
    <row r="232" customFormat="false" ht="15" hidden="false" customHeight="false" outlineLevel="0" collapsed="false">
      <c r="A232" s="34" t="s">
        <v>665</v>
      </c>
      <c r="B232" s="35" t="s">
        <v>666</v>
      </c>
      <c r="C232" s="36" t="s">
        <v>667</v>
      </c>
      <c r="D232" s="37" t="s">
        <v>668</v>
      </c>
      <c r="E232" s="38" t="s">
        <v>396</v>
      </c>
      <c r="F232" s="39" t="n">
        <v>15</v>
      </c>
      <c r="G232" s="40" t="n">
        <v>37.72</v>
      </c>
      <c r="H232" s="40" t="n">
        <v>27.41</v>
      </c>
      <c r="I232" s="40" t="n">
        <f aca="false">G232+H232</f>
        <v>65.13</v>
      </c>
      <c r="J232" s="40" t="n">
        <f aca="false">G232*F232</f>
        <v>565.8</v>
      </c>
      <c r="K232" s="40" t="n">
        <f aca="false">H232*F232</f>
        <v>411.15</v>
      </c>
      <c r="L232" s="40" t="n">
        <f aca="false">J232+K232</f>
        <v>976.95</v>
      </c>
      <c r="M232" s="40" t="n">
        <f aca="false">ROUND(L232*(1+$M$4),2)</f>
        <v>1231.15</v>
      </c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2"/>
      <c r="AK232" s="42"/>
      <c r="AL232" s="42"/>
      <c r="AM232" s="42"/>
      <c r="AN232" s="42"/>
      <c r="AO232" s="42"/>
      <c r="AP232" s="42"/>
      <c r="AQ232" s="42"/>
      <c r="AR232" s="42"/>
      <c r="AS232" s="42"/>
      <c r="AT232" s="42"/>
      <c r="AU232" s="42"/>
      <c r="AV232" s="42"/>
      <c r="AW232" s="42"/>
      <c r="AX232" s="42"/>
      <c r="AY232" s="42"/>
      <c r="AZ232" s="42"/>
    </row>
    <row r="233" customFormat="false" ht="15" hidden="false" customHeight="false" outlineLevel="0" collapsed="false">
      <c r="A233" s="34" t="s">
        <v>669</v>
      </c>
      <c r="B233" s="35" t="s">
        <v>666</v>
      </c>
      <c r="C233" s="36" t="s">
        <v>670</v>
      </c>
      <c r="D233" s="37" t="s">
        <v>671</v>
      </c>
      <c r="E233" s="38" t="s">
        <v>396</v>
      </c>
      <c r="F233" s="39" t="n">
        <v>18</v>
      </c>
      <c r="G233" s="40" t="n">
        <v>19.71</v>
      </c>
      <c r="H233" s="40" t="n">
        <v>14.07</v>
      </c>
      <c r="I233" s="40" t="n">
        <f aca="false">G233+H233</f>
        <v>33.78</v>
      </c>
      <c r="J233" s="40" t="n">
        <f aca="false">G233*F233</f>
        <v>354.78</v>
      </c>
      <c r="K233" s="40" t="n">
        <f aca="false">H233*F233</f>
        <v>253.26</v>
      </c>
      <c r="L233" s="40" t="n">
        <f aca="false">J233+K233</f>
        <v>608.04</v>
      </c>
      <c r="M233" s="40" t="n">
        <f aca="false">ROUND(L233*(1+$M$4),2)</f>
        <v>766.25</v>
      </c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F233" s="41"/>
      <c r="AG233" s="41"/>
      <c r="AH233" s="41"/>
      <c r="AI233" s="41"/>
      <c r="AJ233" s="42"/>
      <c r="AK233" s="42"/>
      <c r="AL233" s="42"/>
      <c r="AM233" s="42"/>
      <c r="AN233" s="42"/>
      <c r="AO233" s="42"/>
      <c r="AP233" s="42"/>
      <c r="AQ233" s="42"/>
      <c r="AR233" s="42"/>
      <c r="AS233" s="42"/>
      <c r="AT233" s="42"/>
      <c r="AU233" s="42"/>
      <c r="AV233" s="42"/>
      <c r="AW233" s="42"/>
      <c r="AX233" s="42"/>
      <c r="AY233" s="42"/>
      <c r="AZ233" s="42"/>
    </row>
    <row r="234" customFormat="false" ht="15" hidden="false" customHeight="false" outlineLevel="0" collapsed="false">
      <c r="A234" s="34" t="s">
        <v>672</v>
      </c>
      <c r="B234" s="35" t="s">
        <v>673</v>
      </c>
      <c r="C234" s="36" t="s">
        <v>674</v>
      </c>
      <c r="D234" s="37" t="s">
        <v>675</v>
      </c>
      <c r="E234" s="38" t="s">
        <v>14</v>
      </c>
      <c r="F234" s="39" t="n">
        <v>2</v>
      </c>
      <c r="G234" s="40" t="n">
        <v>7.92</v>
      </c>
      <c r="H234" s="40" t="n">
        <v>4.81</v>
      </c>
      <c r="I234" s="40" t="n">
        <f aca="false">G234+H234</f>
        <v>12.73</v>
      </c>
      <c r="J234" s="40" t="n">
        <f aca="false">G234*F234</f>
        <v>15.84</v>
      </c>
      <c r="K234" s="40" t="n">
        <f aca="false">H234*F234</f>
        <v>9.62</v>
      </c>
      <c r="L234" s="40" t="n">
        <f aca="false">J234+K234</f>
        <v>25.46</v>
      </c>
      <c r="M234" s="40" t="n">
        <f aca="false">ROUND(L234*(1+$M$4),2)</f>
        <v>32.08</v>
      </c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F234" s="41"/>
      <c r="AG234" s="41"/>
      <c r="AH234" s="41"/>
      <c r="AI234" s="41"/>
      <c r="AJ234" s="42"/>
      <c r="AK234" s="42"/>
      <c r="AL234" s="42"/>
      <c r="AM234" s="42"/>
      <c r="AN234" s="42"/>
      <c r="AO234" s="42"/>
      <c r="AP234" s="42"/>
      <c r="AQ234" s="42"/>
      <c r="AR234" s="42"/>
      <c r="AS234" s="42"/>
      <c r="AT234" s="42"/>
      <c r="AU234" s="42"/>
      <c r="AV234" s="42"/>
      <c r="AW234" s="42"/>
      <c r="AX234" s="42"/>
      <c r="AY234" s="42"/>
      <c r="AZ234" s="42"/>
    </row>
    <row r="235" customFormat="false" ht="15" hidden="false" customHeight="false" outlineLevel="0" collapsed="false">
      <c r="A235" s="34" t="s">
        <v>676</v>
      </c>
      <c r="B235" s="35" t="s">
        <v>673</v>
      </c>
      <c r="C235" s="36" t="s">
        <v>677</v>
      </c>
      <c r="D235" s="37" t="s">
        <v>678</v>
      </c>
      <c r="E235" s="38" t="s">
        <v>14</v>
      </c>
      <c r="F235" s="39" t="n">
        <v>1</v>
      </c>
      <c r="G235" s="40" t="n">
        <v>41.45</v>
      </c>
      <c r="H235" s="40" t="n">
        <v>12.21</v>
      </c>
      <c r="I235" s="40" t="n">
        <f aca="false">G235+H235</f>
        <v>53.66</v>
      </c>
      <c r="J235" s="40" t="n">
        <f aca="false">G235*F235</f>
        <v>41.45</v>
      </c>
      <c r="K235" s="40" t="n">
        <f aca="false">H235*F235</f>
        <v>12.21</v>
      </c>
      <c r="L235" s="40" t="n">
        <f aca="false">J235+K235</f>
        <v>53.66</v>
      </c>
      <c r="M235" s="40" t="n">
        <f aca="false">ROUND(L235*(1+$M$4),2)</f>
        <v>67.62</v>
      </c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F235" s="41"/>
      <c r="AG235" s="41"/>
      <c r="AH235" s="41"/>
      <c r="AI235" s="41"/>
      <c r="AJ235" s="42"/>
      <c r="AK235" s="42"/>
      <c r="AL235" s="42"/>
      <c r="AM235" s="42"/>
      <c r="AN235" s="42"/>
      <c r="AO235" s="42"/>
      <c r="AP235" s="42"/>
      <c r="AQ235" s="42"/>
      <c r="AR235" s="42"/>
      <c r="AS235" s="42"/>
      <c r="AT235" s="42"/>
      <c r="AU235" s="42"/>
      <c r="AV235" s="42"/>
      <c r="AW235" s="42"/>
      <c r="AX235" s="42"/>
      <c r="AY235" s="42"/>
      <c r="AZ235" s="42"/>
    </row>
    <row r="236" customFormat="false" ht="15" hidden="false" customHeight="false" outlineLevel="0" collapsed="false">
      <c r="A236" s="34" t="s">
        <v>679</v>
      </c>
      <c r="B236" s="35" t="s">
        <v>673</v>
      </c>
      <c r="C236" s="36" t="s">
        <v>680</v>
      </c>
      <c r="D236" s="37" t="s">
        <v>681</v>
      </c>
      <c r="E236" s="38" t="s">
        <v>14</v>
      </c>
      <c r="F236" s="39" t="n">
        <v>8</v>
      </c>
      <c r="G236" s="40" t="n">
        <v>7.09</v>
      </c>
      <c r="H236" s="40" t="n">
        <v>4.81</v>
      </c>
      <c r="I236" s="40" t="n">
        <f aca="false">G236+H236</f>
        <v>11.9</v>
      </c>
      <c r="J236" s="40" t="n">
        <f aca="false">G236*F236</f>
        <v>56.72</v>
      </c>
      <c r="K236" s="40" t="n">
        <f aca="false">H236*F236</f>
        <v>38.48</v>
      </c>
      <c r="L236" s="40" t="n">
        <f aca="false">J236+K236</f>
        <v>95.2</v>
      </c>
      <c r="M236" s="40" t="n">
        <f aca="false">ROUND(L236*(1+$M$4),2)</f>
        <v>119.97</v>
      </c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1"/>
      <c r="AJ236" s="42"/>
      <c r="AK236" s="42"/>
      <c r="AL236" s="42"/>
      <c r="AM236" s="42"/>
      <c r="AN236" s="42"/>
      <c r="AO236" s="42"/>
      <c r="AP236" s="42"/>
      <c r="AQ236" s="42"/>
      <c r="AR236" s="42"/>
      <c r="AS236" s="42"/>
      <c r="AT236" s="42"/>
      <c r="AU236" s="42"/>
      <c r="AV236" s="42"/>
      <c r="AW236" s="42"/>
      <c r="AX236" s="42"/>
      <c r="AY236" s="42"/>
      <c r="AZ236" s="42"/>
    </row>
    <row r="237" customFormat="false" ht="15" hidden="false" customHeight="false" outlineLevel="0" collapsed="false">
      <c r="A237" s="34" t="s">
        <v>682</v>
      </c>
      <c r="B237" s="35" t="s">
        <v>673</v>
      </c>
      <c r="C237" s="36" t="s">
        <v>683</v>
      </c>
      <c r="D237" s="37" t="s">
        <v>684</v>
      </c>
      <c r="E237" s="38" t="s">
        <v>14</v>
      </c>
      <c r="F237" s="39" t="n">
        <v>2</v>
      </c>
      <c r="G237" s="40" t="n">
        <v>18.37</v>
      </c>
      <c r="H237" s="40" t="n">
        <v>9.25</v>
      </c>
      <c r="I237" s="40" t="n">
        <f aca="false">G237+H237</f>
        <v>27.62</v>
      </c>
      <c r="J237" s="40" t="n">
        <f aca="false">G237*F237</f>
        <v>36.74</v>
      </c>
      <c r="K237" s="40" t="n">
        <f aca="false">H237*F237</f>
        <v>18.5</v>
      </c>
      <c r="L237" s="40" t="n">
        <f aca="false">J237+K237</f>
        <v>55.24</v>
      </c>
      <c r="M237" s="40" t="n">
        <f aca="false">ROUND(L237*(1+$M$4),2)</f>
        <v>69.61</v>
      </c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1"/>
      <c r="AJ237" s="42"/>
      <c r="AK237" s="42"/>
      <c r="AL237" s="42"/>
      <c r="AM237" s="42"/>
      <c r="AN237" s="42"/>
      <c r="AO237" s="42"/>
      <c r="AP237" s="42"/>
      <c r="AQ237" s="42"/>
      <c r="AR237" s="42"/>
      <c r="AS237" s="42"/>
      <c r="AT237" s="42"/>
      <c r="AU237" s="42"/>
      <c r="AV237" s="42"/>
      <c r="AW237" s="42"/>
      <c r="AX237" s="42"/>
      <c r="AY237" s="42"/>
      <c r="AZ237" s="42"/>
    </row>
    <row r="238" customFormat="false" ht="15" hidden="false" customHeight="false" outlineLevel="0" collapsed="false">
      <c r="A238" s="34" t="s">
        <v>685</v>
      </c>
      <c r="B238" s="35" t="s">
        <v>673</v>
      </c>
      <c r="C238" s="36" t="s">
        <v>686</v>
      </c>
      <c r="D238" s="37" t="s">
        <v>687</v>
      </c>
      <c r="E238" s="38" t="s">
        <v>14</v>
      </c>
      <c r="F238" s="39" t="n">
        <v>2</v>
      </c>
      <c r="G238" s="40" t="n">
        <v>29.51</v>
      </c>
      <c r="H238" s="40" t="n">
        <v>9.24</v>
      </c>
      <c r="I238" s="40" t="n">
        <f aca="false">G238+H238</f>
        <v>38.75</v>
      </c>
      <c r="J238" s="40" t="n">
        <f aca="false">G238*F238</f>
        <v>59.02</v>
      </c>
      <c r="K238" s="40" t="n">
        <f aca="false">H238*F238</f>
        <v>18.48</v>
      </c>
      <c r="L238" s="40" t="n">
        <f aca="false">J238+K238</f>
        <v>77.5</v>
      </c>
      <c r="M238" s="40" t="n">
        <f aca="false">ROUND(L238*(1+$M$4),2)</f>
        <v>97.67</v>
      </c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F238" s="41"/>
      <c r="AG238" s="41"/>
      <c r="AH238" s="41"/>
      <c r="AI238" s="41"/>
      <c r="AJ238" s="42"/>
      <c r="AK238" s="42"/>
      <c r="AL238" s="42"/>
      <c r="AM238" s="42"/>
      <c r="AN238" s="42"/>
      <c r="AO238" s="42"/>
      <c r="AP238" s="42"/>
      <c r="AQ238" s="42"/>
      <c r="AR238" s="42"/>
      <c r="AS238" s="42"/>
      <c r="AT238" s="42"/>
      <c r="AU238" s="42"/>
      <c r="AV238" s="42"/>
      <c r="AW238" s="42"/>
      <c r="AX238" s="42"/>
      <c r="AY238" s="42"/>
      <c r="AZ238" s="42"/>
    </row>
    <row r="239" customFormat="false" ht="15" hidden="false" customHeight="false" outlineLevel="0" collapsed="false">
      <c r="A239" s="34" t="s">
        <v>688</v>
      </c>
      <c r="B239" s="35" t="s">
        <v>689</v>
      </c>
      <c r="C239" s="36" t="s">
        <v>690</v>
      </c>
      <c r="D239" s="37" t="s">
        <v>691</v>
      </c>
      <c r="E239" s="38" t="s">
        <v>14</v>
      </c>
      <c r="F239" s="39" t="n">
        <v>3</v>
      </c>
      <c r="G239" s="40" t="n">
        <v>12.53</v>
      </c>
      <c r="H239" s="40" t="n">
        <v>2.58</v>
      </c>
      <c r="I239" s="40" t="n">
        <f aca="false">G239+H239</f>
        <v>15.11</v>
      </c>
      <c r="J239" s="40" t="n">
        <f aca="false">G239*F239</f>
        <v>37.59</v>
      </c>
      <c r="K239" s="40" t="n">
        <f aca="false">H239*F239</f>
        <v>7.74</v>
      </c>
      <c r="L239" s="40" t="n">
        <f aca="false">J239+K239</f>
        <v>45.33</v>
      </c>
      <c r="M239" s="40" t="n">
        <f aca="false">ROUND(L239*(1+$M$4),2)</f>
        <v>57.12</v>
      </c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F239" s="41"/>
      <c r="AG239" s="41"/>
      <c r="AH239" s="41"/>
      <c r="AI239" s="41"/>
      <c r="AJ239" s="42"/>
      <c r="AK239" s="42"/>
      <c r="AL239" s="42"/>
      <c r="AM239" s="42"/>
      <c r="AN239" s="42"/>
      <c r="AO239" s="42"/>
      <c r="AP239" s="42"/>
      <c r="AQ239" s="42"/>
      <c r="AR239" s="42"/>
      <c r="AS239" s="42"/>
      <c r="AT239" s="42"/>
      <c r="AU239" s="42"/>
      <c r="AV239" s="42"/>
      <c r="AW239" s="42"/>
      <c r="AX239" s="42"/>
      <c r="AY239" s="42"/>
      <c r="AZ239" s="42"/>
    </row>
    <row r="240" customFormat="false" ht="15" hidden="false" customHeight="false" outlineLevel="0" collapsed="false">
      <c r="A240" s="34" t="s">
        <v>692</v>
      </c>
      <c r="B240" s="35" t="s">
        <v>689</v>
      </c>
      <c r="C240" s="36" t="s">
        <v>693</v>
      </c>
      <c r="D240" s="37" t="s">
        <v>694</v>
      </c>
      <c r="E240" s="38" t="s">
        <v>14</v>
      </c>
      <c r="F240" s="39" t="n">
        <v>3</v>
      </c>
      <c r="G240" s="40" t="n">
        <v>23.88</v>
      </c>
      <c r="H240" s="40" t="n">
        <v>0</v>
      </c>
      <c r="I240" s="40" t="n">
        <f aca="false">G240+H240</f>
        <v>23.88</v>
      </c>
      <c r="J240" s="40" t="n">
        <f aca="false">G240*F240</f>
        <v>71.64</v>
      </c>
      <c r="K240" s="40" t="n">
        <f aca="false">H240*F240</f>
        <v>0</v>
      </c>
      <c r="L240" s="40" t="n">
        <f aca="false">J240+K240</f>
        <v>71.64</v>
      </c>
      <c r="M240" s="40" t="n">
        <f aca="false">ROUND(L240*(1+$M$4),2)</f>
        <v>90.28</v>
      </c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F240" s="41"/>
      <c r="AG240" s="41"/>
      <c r="AH240" s="41"/>
      <c r="AI240" s="41"/>
      <c r="AJ240" s="42"/>
      <c r="AK240" s="42"/>
      <c r="AL240" s="42"/>
      <c r="AM240" s="42"/>
      <c r="AN240" s="42"/>
      <c r="AO240" s="42"/>
      <c r="AP240" s="42"/>
      <c r="AQ240" s="42"/>
      <c r="AR240" s="42"/>
      <c r="AS240" s="42"/>
      <c r="AT240" s="42"/>
      <c r="AU240" s="42"/>
      <c r="AV240" s="42"/>
      <c r="AW240" s="42"/>
      <c r="AX240" s="42"/>
      <c r="AY240" s="42"/>
      <c r="AZ240" s="42"/>
    </row>
    <row r="241" customFormat="false" ht="15" hidden="false" customHeight="true" outlineLevel="0" collapsed="false">
      <c r="A241" s="60" t="s">
        <v>695</v>
      </c>
      <c r="B241" s="61" t="s">
        <v>696</v>
      </c>
      <c r="C241" s="61"/>
      <c r="D241" s="62"/>
      <c r="E241" s="62"/>
      <c r="F241" s="63"/>
      <c r="G241" s="64"/>
      <c r="H241" s="64"/>
      <c r="I241" s="64"/>
      <c r="J241" s="31"/>
      <c r="K241" s="31"/>
      <c r="L241" s="31"/>
      <c r="M241" s="31"/>
      <c r="N241" s="82" t="n">
        <f aca="false">M241</f>
        <v>0</v>
      </c>
      <c r="O241" s="66"/>
      <c r="P241" s="66"/>
      <c r="Q241" s="66"/>
      <c r="R241" s="66"/>
      <c r="S241" s="66"/>
      <c r="T241" s="66"/>
      <c r="U241" s="66"/>
      <c r="V241" s="66"/>
      <c r="W241" s="66"/>
      <c r="X241" s="66"/>
      <c r="Y241" s="66"/>
      <c r="Z241" s="66"/>
      <c r="AA241" s="66"/>
      <c r="AB241" s="66"/>
      <c r="AC241" s="66"/>
      <c r="AD241" s="66"/>
      <c r="AE241" s="66"/>
      <c r="AF241" s="66"/>
      <c r="AG241" s="66"/>
      <c r="AH241" s="66"/>
      <c r="AI241" s="66"/>
      <c r="AJ241" s="66"/>
      <c r="AK241" s="66"/>
      <c r="AL241" s="66"/>
      <c r="AM241" s="66"/>
      <c r="AN241" s="66"/>
      <c r="AO241" s="66"/>
      <c r="AP241" s="66"/>
      <c r="AQ241" s="66"/>
      <c r="AR241" s="66"/>
      <c r="AS241" s="66"/>
      <c r="AT241" s="66"/>
      <c r="AU241" s="66"/>
      <c r="AV241" s="66"/>
      <c r="AW241" s="66"/>
      <c r="AX241" s="66"/>
      <c r="AY241" s="66"/>
      <c r="AZ241" s="66"/>
    </row>
    <row r="242" customFormat="false" ht="15" hidden="false" customHeight="false" outlineLevel="0" collapsed="false">
      <c r="A242" s="67" t="s">
        <v>697</v>
      </c>
      <c r="B242" s="68" t="s">
        <v>698</v>
      </c>
      <c r="C242" s="68"/>
      <c r="D242" s="83"/>
      <c r="E242" s="83"/>
      <c r="F242" s="84"/>
      <c r="G242" s="85"/>
      <c r="H242" s="85"/>
      <c r="I242" s="85"/>
      <c r="J242" s="48" t="n">
        <f aca="false">SUM(J243:J262)</f>
        <v>15148.0993</v>
      </c>
      <c r="K242" s="48" t="n">
        <f aca="false">SUM(K243:K262)</f>
        <v>5732.0114</v>
      </c>
      <c r="L242" s="48" t="n">
        <f aca="false">SUM(L243:L262)</f>
        <v>20880.1107</v>
      </c>
      <c r="M242" s="48" t="n">
        <f aca="false">SUM(M243:M262)</f>
        <v>26313.11</v>
      </c>
      <c r="N242" s="82" t="n">
        <f aca="false">M242</f>
        <v>26313.11</v>
      </c>
      <c r="O242" s="66"/>
      <c r="P242" s="66"/>
      <c r="Q242" s="66"/>
      <c r="R242" s="66"/>
      <c r="S242" s="66"/>
      <c r="T242" s="66"/>
      <c r="U242" s="66"/>
      <c r="V242" s="66"/>
      <c r="W242" s="66"/>
      <c r="X242" s="66"/>
      <c r="Y242" s="66"/>
      <c r="Z242" s="66"/>
      <c r="AA242" s="66"/>
      <c r="AB242" s="66"/>
      <c r="AC242" s="66"/>
      <c r="AD242" s="66"/>
      <c r="AE242" s="66"/>
      <c r="AF242" s="66"/>
      <c r="AG242" s="66"/>
      <c r="AH242" s="66"/>
      <c r="AI242" s="66"/>
      <c r="AJ242" s="66"/>
      <c r="AK242" s="66"/>
      <c r="AL242" s="66"/>
      <c r="AM242" s="66"/>
      <c r="AN242" s="66"/>
      <c r="AO242" s="66"/>
      <c r="AP242" s="66"/>
      <c r="AQ242" s="66"/>
      <c r="AR242" s="66"/>
      <c r="AS242" s="66"/>
      <c r="AT242" s="66"/>
      <c r="AU242" s="66"/>
      <c r="AV242" s="66"/>
      <c r="AW242" s="66"/>
      <c r="AX242" s="66"/>
      <c r="AY242" s="66"/>
      <c r="AZ242" s="66"/>
    </row>
    <row r="243" customFormat="false" ht="15" hidden="false" customHeight="false" outlineLevel="0" collapsed="false">
      <c r="A243" s="34" t="s">
        <v>699</v>
      </c>
      <c r="B243" s="35" t="s">
        <v>700</v>
      </c>
      <c r="C243" s="36" t="s">
        <v>701</v>
      </c>
      <c r="D243" s="37" t="s">
        <v>702</v>
      </c>
      <c r="E243" s="38" t="s">
        <v>29</v>
      </c>
      <c r="F243" s="39" t="n">
        <f aca="false">80*0.15</f>
        <v>12</v>
      </c>
      <c r="G243" s="40" t="n">
        <v>11.48</v>
      </c>
      <c r="H243" s="40" t="n">
        <v>21.13</v>
      </c>
      <c r="I243" s="40" t="n">
        <f aca="false">G243+H243</f>
        <v>32.61</v>
      </c>
      <c r="J243" s="40" t="n">
        <f aca="false">G243*F243</f>
        <v>137.76</v>
      </c>
      <c r="K243" s="40" t="n">
        <f aca="false">H243*F243</f>
        <v>253.56</v>
      </c>
      <c r="L243" s="40" t="n">
        <f aca="false">J243+K243</f>
        <v>391.32</v>
      </c>
      <c r="M243" s="40" t="n">
        <f aca="false">ROUND(L243*(1+$M$4),2)</f>
        <v>493.14</v>
      </c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F243" s="41"/>
      <c r="AG243" s="41"/>
      <c r="AH243" s="41"/>
      <c r="AI243" s="41"/>
      <c r="AJ243" s="42"/>
      <c r="AK243" s="42"/>
      <c r="AL243" s="42"/>
      <c r="AM243" s="42"/>
      <c r="AN243" s="42"/>
      <c r="AO243" s="42"/>
      <c r="AP243" s="42"/>
      <c r="AQ243" s="42"/>
      <c r="AR243" s="42"/>
      <c r="AS243" s="42"/>
      <c r="AT243" s="42"/>
      <c r="AU243" s="42"/>
      <c r="AV243" s="42"/>
      <c r="AW243" s="42"/>
      <c r="AX243" s="42"/>
      <c r="AY243" s="42"/>
      <c r="AZ243" s="42"/>
    </row>
    <row r="244" customFormat="false" ht="15" hidden="false" customHeight="false" outlineLevel="0" collapsed="false">
      <c r="A244" s="34" t="s">
        <v>703</v>
      </c>
      <c r="B244" s="35" t="s">
        <v>704</v>
      </c>
      <c r="C244" s="36" t="s">
        <v>705</v>
      </c>
      <c r="D244" s="37" t="s">
        <v>706</v>
      </c>
      <c r="E244" s="38" t="s">
        <v>132</v>
      </c>
      <c r="F244" s="39" t="n">
        <f aca="false">38/2</f>
        <v>19</v>
      </c>
      <c r="G244" s="40" t="n">
        <v>37.69</v>
      </c>
      <c r="H244" s="40" t="n">
        <v>24.23</v>
      </c>
      <c r="I244" s="40" t="n">
        <f aca="false">G244+H244</f>
        <v>61.92</v>
      </c>
      <c r="J244" s="40" t="n">
        <f aca="false">G244*F244</f>
        <v>716.11</v>
      </c>
      <c r="K244" s="40" t="n">
        <f aca="false">H244*F244</f>
        <v>460.37</v>
      </c>
      <c r="L244" s="40" t="n">
        <f aca="false">J244+K244</f>
        <v>1176.48</v>
      </c>
      <c r="M244" s="40" t="n">
        <f aca="false">ROUND(L244*(1+$M$4),2)</f>
        <v>1482.6</v>
      </c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41"/>
      <c r="AJ244" s="42"/>
      <c r="AK244" s="42"/>
      <c r="AL244" s="42"/>
      <c r="AM244" s="42"/>
      <c r="AN244" s="42"/>
      <c r="AO244" s="42"/>
      <c r="AP244" s="42"/>
      <c r="AQ244" s="42"/>
      <c r="AR244" s="42"/>
      <c r="AS244" s="42"/>
      <c r="AT244" s="42"/>
      <c r="AU244" s="42"/>
      <c r="AV244" s="42"/>
      <c r="AW244" s="42"/>
      <c r="AX244" s="42"/>
      <c r="AY244" s="42"/>
      <c r="AZ244" s="42"/>
    </row>
    <row r="245" customFormat="false" ht="15" hidden="false" customHeight="false" outlineLevel="0" collapsed="false">
      <c r="A245" s="34" t="s">
        <v>707</v>
      </c>
      <c r="B245" s="35" t="s">
        <v>708</v>
      </c>
      <c r="C245" s="36" t="s">
        <v>647</v>
      </c>
      <c r="D245" s="37" t="s">
        <v>709</v>
      </c>
      <c r="E245" s="38" t="s">
        <v>29</v>
      </c>
      <c r="F245" s="39" t="n">
        <f aca="false">F250+(44*0.15*0.3)</f>
        <v>3.19</v>
      </c>
      <c r="G245" s="40" t="n">
        <v>25.77</v>
      </c>
      <c r="H245" s="40" t="n">
        <v>58.76</v>
      </c>
      <c r="I245" s="40" t="n">
        <f aca="false">G245+H245</f>
        <v>84.53</v>
      </c>
      <c r="J245" s="40" t="n">
        <f aca="false">G245*F245</f>
        <v>82.2063</v>
      </c>
      <c r="K245" s="40" t="n">
        <f aca="false">H245*F245</f>
        <v>187.4444</v>
      </c>
      <c r="L245" s="40" t="n">
        <f aca="false">J245+K245</f>
        <v>269.6507</v>
      </c>
      <c r="M245" s="40" t="n">
        <f aca="false">ROUND(L245*(1+$M$4),2)</f>
        <v>339.81</v>
      </c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F245" s="41"/>
      <c r="AG245" s="41"/>
      <c r="AH245" s="41"/>
      <c r="AI245" s="41"/>
      <c r="AJ245" s="42"/>
      <c r="AK245" s="42"/>
      <c r="AL245" s="42"/>
      <c r="AM245" s="42"/>
      <c r="AN245" s="42"/>
      <c r="AO245" s="42"/>
      <c r="AP245" s="42"/>
      <c r="AQ245" s="42"/>
      <c r="AR245" s="42"/>
      <c r="AS245" s="42"/>
      <c r="AT245" s="42"/>
      <c r="AU245" s="42"/>
      <c r="AV245" s="42"/>
      <c r="AW245" s="42"/>
      <c r="AX245" s="42"/>
      <c r="AY245" s="42"/>
      <c r="AZ245" s="42"/>
    </row>
    <row r="246" customFormat="false" ht="15" hidden="false" customHeight="false" outlineLevel="0" collapsed="false">
      <c r="A246" s="34" t="s">
        <v>710</v>
      </c>
      <c r="B246" s="35" t="s">
        <v>711</v>
      </c>
      <c r="C246" s="36" t="s">
        <v>712</v>
      </c>
      <c r="D246" s="37" t="s">
        <v>713</v>
      </c>
      <c r="E246" s="38" t="s">
        <v>132</v>
      </c>
      <c r="F246" s="39" t="n">
        <v>40</v>
      </c>
      <c r="G246" s="40" t="n">
        <v>47.02</v>
      </c>
      <c r="H246" s="40" t="n">
        <v>34.92</v>
      </c>
      <c r="I246" s="40" t="n">
        <f aca="false">G246+H246</f>
        <v>81.94</v>
      </c>
      <c r="J246" s="40" t="n">
        <f aca="false">G246*F246</f>
        <v>1880.8</v>
      </c>
      <c r="K246" s="40" t="n">
        <f aca="false">H246*F246</f>
        <v>1396.8</v>
      </c>
      <c r="L246" s="40" t="n">
        <f aca="false">J246+K246</f>
        <v>3277.6</v>
      </c>
      <c r="M246" s="40" t="n">
        <f aca="false">ROUND(L246*(1+$M$4),2)</f>
        <v>4130.43</v>
      </c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F246" s="41"/>
      <c r="AG246" s="41"/>
      <c r="AH246" s="41"/>
      <c r="AI246" s="41"/>
      <c r="AJ246" s="42"/>
      <c r="AK246" s="42"/>
      <c r="AL246" s="42"/>
      <c r="AM246" s="42"/>
      <c r="AN246" s="42"/>
      <c r="AO246" s="42"/>
      <c r="AP246" s="42"/>
      <c r="AQ246" s="42"/>
      <c r="AR246" s="42"/>
      <c r="AS246" s="42"/>
      <c r="AT246" s="42"/>
      <c r="AU246" s="42"/>
      <c r="AV246" s="42"/>
      <c r="AW246" s="42"/>
      <c r="AX246" s="42"/>
      <c r="AY246" s="42"/>
      <c r="AZ246" s="42"/>
    </row>
    <row r="247" customFormat="false" ht="15" hidden="false" customHeight="false" outlineLevel="0" collapsed="false">
      <c r="A247" s="34" t="s">
        <v>714</v>
      </c>
      <c r="B247" s="35" t="s">
        <v>715</v>
      </c>
      <c r="C247" s="36" t="s">
        <v>716</v>
      </c>
      <c r="D247" s="37" t="s">
        <v>717</v>
      </c>
      <c r="E247" s="38" t="s">
        <v>84</v>
      </c>
      <c r="F247" s="39" t="n">
        <f aca="false">10*(0.55*0.4*4)/2</f>
        <v>4.4</v>
      </c>
      <c r="G247" s="40" t="n">
        <v>50.41</v>
      </c>
      <c r="H247" s="40" t="n">
        <v>29.92</v>
      </c>
      <c r="I247" s="40" t="n">
        <f aca="false">G247+H247</f>
        <v>80.33</v>
      </c>
      <c r="J247" s="40" t="n">
        <f aca="false">G247*F247</f>
        <v>221.804</v>
      </c>
      <c r="K247" s="40" t="n">
        <f aca="false">H247*F247</f>
        <v>131.648</v>
      </c>
      <c r="L247" s="40" t="n">
        <f aca="false">J247+K247</f>
        <v>353.452</v>
      </c>
      <c r="M247" s="40" t="n">
        <f aca="false">ROUND(L247*(1+$M$4),2)</f>
        <v>445.42</v>
      </c>
      <c r="N247" s="41"/>
      <c r="O247" s="41"/>
      <c r="P247" s="41"/>
      <c r="Q247" s="41"/>
      <c r="R247" s="86" t="n">
        <f aca="false">F247</f>
        <v>4.4</v>
      </c>
      <c r="S247" s="41"/>
      <c r="T247" s="41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F247" s="41"/>
      <c r="AG247" s="41"/>
      <c r="AH247" s="41"/>
      <c r="AI247" s="41"/>
      <c r="AJ247" s="42"/>
      <c r="AK247" s="42"/>
      <c r="AL247" s="42"/>
      <c r="AM247" s="42"/>
      <c r="AN247" s="42"/>
      <c r="AO247" s="42"/>
      <c r="AP247" s="42"/>
      <c r="AQ247" s="42"/>
      <c r="AR247" s="42"/>
      <c r="AS247" s="42"/>
      <c r="AT247" s="42"/>
      <c r="AU247" s="42"/>
      <c r="AV247" s="42"/>
      <c r="AW247" s="42"/>
      <c r="AX247" s="42"/>
      <c r="AY247" s="42"/>
      <c r="AZ247" s="42"/>
    </row>
    <row r="248" customFormat="false" ht="15" hidden="false" customHeight="false" outlineLevel="0" collapsed="false">
      <c r="A248" s="34" t="s">
        <v>718</v>
      </c>
      <c r="B248" s="35" t="s">
        <v>719</v>
      </c>
      <c r="C248" s="36" t="s">
        <v>720</v>
      </c>
      <c r="D248" s="37" t="s">
        <v>721</v>
      </c>
      <c r="E248" s="38" t="s">
        <v>722</v>
      </c>
      <c r="F248" s="39" t="n">
        <v>10</v>
      </c>
      <c r="G248" s="40" t="n">
        <v>11.79</v>
      </c>
      <c r="H248" s="40" t="n">
        <v>3.83</v>
      </c>
      <c r="I248" s="40" t="n">
        <f aca="false">G248+H248</f>
        <v>15.62</v>
      </c>
      <c r="J248" s="40" t="n">
        <f aca="false">G248*F248</f>
        <v>117.9</v>
      </c>
      <c r="K248" s="40" t="n">
        <f aca="false">H248*F248</f>
        <v>38.3</v>
      </c>
      <c r="L248" s="40" t="n">
        <f aca="false">J248+K248</f>
        <v>156.2</v>
      </c>
      <c r="M248" s="40" t="n">
        <f aca="false">ROUND(L248*(1+$M$4),2)</f>
        <v>196.84</v>
      </c>
      <c r="N248" s="41"/>
      <c r="O248" s="41"/>
      <c r="P248" s="41"/>
      <c r="Q248" s="41"/>
      <c r="R248" s="86" t="n">
        <f aca="false">F248</f>
        <v>10</v>
      </c>
      <c r="S248" s="41"/>
      <c r="T248" s="41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F248" s="41"/>
      <c r="AG248" s="41"/>
      <c r="AH248" s="41"/>
      <c r="AI248" s="41"/>
      <c r="AJ248" s="42"/>
      <c r="AK248" s="42"/>
      <c r="AL248" s="42"/>
      <c r="AM248" s="42"/>
      <c r="AN248" s="42"/>
      <c r="AO248" s="42"/>
      <c r="AP248" s="42"/>
      <c r="AQ248" s="42"/>
      <c r="AR248" s="42"/>
      <c r="AS248" s="42"/>
      <c r="AT248" s="42"/>
      <c r="AU248" s="42"/>
      <c r="AV248" s="42"/>
      <c r="AW248" s="42"/>
      <c r="AX248" s="42"/>
      <c r="AY248" s="42"/>
      <c r="AZ248" s="42"/>
    </row>
    <row r="249" customFormat="false" ht="15" hidden="false" customHeight="false" outlineLevel="0" collapsed="false">
      <c r="A249" s="34" t="s">
        <v>723</v>
      </c>
      <c r="B249" s="35" t="s">
        <v>724</v>
      </c>
      <c r="C249" s="36" t="s">
        <v>725</v>
      </c>
      <c r="D249" s="37" t="s">
        <v>726</v>
      </c>
      <c r="E249" s="38" t="s">
        <v>722</v>
      </c>
      <c r="F249" s="39" t="n">
        <v>43</v>
      </c>
      <c r="G249" s="40" t="n">
        <v>11.7</v>
      </c>
      <c r="H249" s="40" t="n">
        <v>1.1</v>
      </c>
      <c r="I249" s="40" t="n">
        <f aca="false">G249+H249</f>
        <v>12.8</v>
      </c>
      <c r="J249" s="40" t="n">
        <f aca="false">G249*F249</f>
        <v>503.1</v>
      </c>
      <c r="K249" s="40" t="n">
        <f aca="false">H249*F249</f>
        <v>47.3</v>
      </c>
      <c r="L249" s="40" t="n">
        <f aca="false">J249+K249</f>
        <v>550.4</v>
      </c>
      <c r="M249" s="40" t="n">
        <f aca="false">ROUND(L249*(1+$M$4),2)</f>
        <v>693.61</v>
      </c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F249" s="41"/>
      <c r="AG249" s="41"/>
      <c r="AH249" s="41"/>
      <c r="AI249" s="41"/>
      <c r="AJ249" s="42"/>
      <c r="AK249" s="42"/>
      <c r="AL249" s="42"/>
      <c r="AM249" s="42"/>
      <c r="AN249" s="42"/>
      <c r="AO249" s="42"/>
      <c r="AP249" s="42"/>
      <c r="AQ249" s="42"/>
      <c r="AR249" s="42"/>
      <c r="AS249" s="42"/>
      <c r="AT249" s="42"/>
      <c r="AU249" s="42"/>
      <c r="AV249" s="42"/>
      <c r="AW249" s="42"/>
      <c r="AX249" s="42"/>
      <c r="AY249" s="42"/>
      <c r="AZ249" s="42"/>
    </row>
    <row r="250" customFormat="false" ht="15" hidden="false" customHeight="false" outlineLevel="0" collapsed="false">
      <c r="A250" s="34" t="s">
        <v>727</v>
      </c>
      <c r="B250" s="35" t="s">
        <v>728</v>
      </c>
      <c r="C250" s="36" t="n">
        <v>94971</v>
      </c>
      <c r="D250" s="37" t="s">
        <v>729</v>
      </c>
      <c r="E250" s="38" t="s">
        <v>32</v>
      </c>
      <c r="F250" s="39" t="n">
        <f aca="false">ROUND((10*(0.55*0.55*0.4)),2)</f>
        <v>1.21</v>
      </c>
      <c r="G250" s="40" t="n">
        <v>361</v>
      </c>
      <c r="H250" s="40" t="n">
        <v>48.35</v>
      </c>
      <c r="I250" s="40" t="n">
        <f aca="false">G250+H250</f>
        <v>409.35</v>
      </c>
      <c r="J250" s="40" t="n">
        <f aca="false">G250*F250</f>
        <v>436.81</v>
      </c>
      <c r="K250" s="40" t="n">
        <f aca="false">H250*F250</f>
        <v>58.5035</v>
      </c>
      <c r="L250" s="40" t="n">
        <f aca="false">J250+K250</f>
        <v>495.3135</v>
      </c>
      <c r="M250" s="40" t="n">
        <f aca="false">ROUND(L250*(1+$M$4),2)</f>
        <v>624.19</v>
      </c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F250" s="41"/>
      <c r="AG250" s="41"/>
      <c r="AH250" s="41"/>
      <c r="AI250" s="41"/>
      <c r="AJ250" s="42"/>
      <c r="AK250" s="42"/>
      <c r="AL250" s="42"/>
      <c r="AM250" s="42"/>
      <c r="AN250" s="42"/>
      <c r="AO250" s="42"/>
      <c r="AP250" s="42"/>
      <c r="AQ250" s="42"/>
      <c r="AR250" s="42"/>
      <c r="AS250" s="42"/>
      <c r="AT250" s="42"/>
      <c r="AU250" s="42"/>
      <c r="AV250" s="42"/>
      <c r="AW250" s="42"/>
      <c r="AX250" s="42"/>
      <c r="AY250" s="42"/>
      <c r="AZ250" s="42"/>
    </row>
    <row r="251" customFormat="false" ht="15" hidden="false" customHeight="false" outlineLevel="0" collapsed="false">
      <c r="A251" s="34" t="s">
        <v>730</v>
      </c>
      <c r="B251" s="35" t="s">
        <v>731</v>
      </c>
      <c r="C251" s="36" t="s">
        <v>716</v>
      </c>
      <c r="D251" s="37" t="s">
        <v>717</v>
      </c>
      <c r="E251" s="38" t="s">
        <v>84</v>
      </c>
      <c r="F251" s="39" t="n">
        <f aca="false">74/4</f>
        <v>18.5</v>
      </c>
      <c r="G251" s="40" t="n">
        <v>50.41</v>
      </c>
      <c r="H251" s="40" t="n">
        <v>29.92</v>
      </c>
      <c r="I251" s="40" t="n">
        <f aca="false">G251+H251</f>
        <v>80.33</v>
      </c>
      <c r="J251" s="40" t="n">
        <f aca="false">G251*F251</f>
        <v>932.585</v>
      </c>
      <c r="K251" s="40" t="n">
        <f aca="false">H251*F251</f>
        <v>553.52</v>
      </c>
      <c r="L251" s="40" t="n">
        <f aca="false">J251+K251</f>
        <v>1486.105</v>
      </c>
      <c r="M251" s="40" t="n">
        <f aca="false">ROUND(L251*(1+$M$4),2)</f>
        <v>1872.79</v>
      </c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F251" s="41"/>
      <c r="AG251" s="41"/>
      <c r="AH251" s="41"/>
      <c r="AI251" s="41"/>
      <c r="AJ251" s="42"/>
      <c r="AK251" s="42"/>
      <c r="AL251" s="42"/>
      <c r="AM251" s="42"/>
      <c r="AN251" s="42"/>
      <c r="AO251" s="42"/>
      <c r="AP251" s="42"/>
      <c r="AQ251" s="42"/>
      <c r="AR251" s="42"/>
      <c r="AS251" s="42"/>
      <c r="AT251" s="42"/>
      <c r="AU251" s="42"/>
      <c r="AV251" s="42"/>
      <c r="AW251" s="42"/>
      <c r="AX251" s="42"/>
      <c r="AY251" s="42"/>
      <c r="AZ251" s="42"/>
    </row>
    <row r="252" customFormat="false" ht="15" hidden="false" customHeight="false" outlineLevel="0" collapsed="false">
      <c r="A252" s="34" t="s">
        <v>732</v>
      </c>
      <c r="B252" s="35" t="s">
        <v>733</v>
      </c>
      <c r="C252" s="36" t="s">
        <v>720</v>
      </c>
      <c r="D252" s="37" t="s">
        <v>721</v>
      </c>
      <c r="E252" s="38" t="s">
        <v>722</v>
      </c>
      <c r="F252" s="39" t="n">
        <v>116</v>
      </c>
      <c r="G252" s="40" t="n">
        <v>11.79</v>
      </c>
      <c r="H252" s="40" t="n">
        <v>3.83</v>
      </c>
      <c r="I252" s="40" t="n">
        <f aca="false">G252+H252</f>
        <v>15.62</v>
      </c>
      <c r="J252" s="40" t="n">
        <f aca="false">G252*F252</f>
        <v>1367.64</v>
      </c>
      <c r="K252" s="40" t="n">
        <f aca="false">H252*F252</f>
        <v>444.28</v>
      </c>
      <c r="L252" s="40" t="n">
        <f aca="false">J252+K252</f>
        <v>1811.92</v>
      </c>
      <c r="M252" s="40" t="n">
        <f aca="false">ROUND(L252*(1+$M$4),2)</f>
        <v>2283.38</v>
      </c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F252" s="41"/>
      <c r="AG252" s="41"/>
      <c r="AH252" s="41"/>
      <c r="AI252" s="41"/>
      <c r="AJ252" s="42"/>
      <c r="AK252" s="42"/>
      <c r="AL252" s="42"/>
      <c r="AM252" s="42"/>
      <c r="AN252" s="42"/>
      <c r="AO252" s="42"/>
      <c r="AP252" s="42"/>
      <c r="AQ252" s="42"/>
      <c r="AR252" s="42"/>
      <c r="AS252" s="42"/>
      <c r="AT252" s="42"/>
      <c r="AU252" s="42"/>
      <c r="AV252" s="42"/>
      <c r="AW252" s="42"/>
      <c r="AX252" s="42"/>
      <c r="AY252" s="42"/>
      <c r="AZ252" s="42"/>
    </row>
    <row r="253" customFormat="false" ht="15" hidden="false" customHeight="false" outlineLevel="0" collapsed="false">
      <c r="A253" s="34" t="s">
        <v>734</v>
      </c>
      <c r="B253" s="35" t="s">
        <v>735</v>
      </c>
      <c r="C253" s="36" t="s">
        <v>736</v>
      </c>
      <c r="D253" s="37" t="s">
        <v>737</v>
      </c>
      <c r="E253" s="38" t="s">
        <v>722</v>
      </c>
      <c r="F253" s="39" t="n">
        <v>163</v>
      </c>
      <c r="G253" s="40" t="n">
        <v>12.58</v>
      </c>
      <c r="H253" s="40" t="n">
        <v>1.66</v>
      </c>
      <c r="I253" s="40" t="n">
        <f aca="false">G253+H253</f>
        <v>14.24</v>
      </c>
      <c r="J253" s="40" t="n">
        <f aca="false">G253*F253</f>
        <v>2050.54</v>
      </c>
      <c r="K253" s="40" t="n">
        <f aca="false">H253*F253</f>
        <v>270.58</v>
      </c>
      <c r="L253" s="40" t="n">
        <f aca="false">J253+K253</f>
        <v>2321.12</v>
      </c>
      <c r="M253" s="40" t="n">
        <f aca="false">ROUND(L253*(1+$M$4),2)</f>
        <v>2925.08</v>
      </c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F253" s="41"/>
      <c r="AG253" s="41"/>
      <c r="AH253" s="41"/>
      <c r="AI253" s="41"/>
      <c r="AJ253" s="42"/>
      <c r="AK253" s="42"/>
      <c r="AL253" s="42"/>
      <c r="AM253" s="42"/>
      <c r="AN253" s="42"/>
      <c r="AO253" s="42"/>
      <c r="AP253" s="42"/>
      <c r="AQ253" s="42"/>
      <c r="AR253" s="42"/>
      <c r="AS253" s="42"/>
      <c r="AT253" s="42"/>
      <c r="AU253" s="42"/>
      <c r="AV253" s="42"/>
      <c r="AW253" s="42"/>
      <c r="AX253" s="42"/>
      <c r="AY253" s="42"/>
      <c r="AZ253" s="42"/>
    </row>
    <row r="254" customFormat="false" ht="15" hidden="false" customHeight="false" outlineLevel="0" collapsed="false">
      <c r="A254" s="34" t="s">
        <v>738</v>
      </c>
      <c r="B254" s="35" t="s">
        <v>735</v>
      </c>
      <c r="C254" s="36" t="s">
        <v>725</v>
      </c>
      <c r="D254" s="37" t="s">
        <v>726</v>
      </c>
      <c r="E254" s="38" t="s">
        <v>722</v>
      </c>
      <c r="F254" s="39" t="n">
        <v>39</v>
      </c>
      <c r="G254" s="40" t="n">
        <v>11.7</v>
      </c>
      <c r="H254" s="40" t="n">
        <v>1.1</v>
      </c>
      <c r="I254" s="40" t="n">
        <f aca="false">G254+H254</f>
        <v>12.8</v>
      </c>
      <c r="J254" s="40" t="n">
        <f aca="false">G254*F254</f>
        <v>456.3</v>
      </c>
      <c r="K254" s="40" t="n">
        <f aca="false">H254*F254</f>
        <v>42.9</v>
      </c>
      <c r="L254" s="40" t="n">
        <f aca="false">J254+K254</f>
        <v>499.2</v>
      </c>
      <c r="M254" s="40" t="n">
        <f aca="false">ROUND(L254*(1+$M$4),2)</f>
        <v>629.09</v>
      </c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F254" s="41"/>
      <c r="AG254" s="41"/>
      <c r="AH254" s="41"/>
      <c r="AI254" s="41"/>
      <c r="AJ254" s="42"/>
      <c r="AK254" s="42"/>
      <c r="AL254" s="42"/>
      <c r="AM254" s="42"/>
      <c r="AN254" s="42"/>
      <c r="AO254" s="42"/>
      <c r="AP254" s="42"/>
      <c r="AQ254" s="42"/>
      <c r="AR254" s="42"/>
      <c r="AS254" s="42"/>
      <c r="AT254" s="42"/>
      <c r="AU254" s="42"/>
      <c r="AV254" s="42"/>
      <c r="AW254" s="42"/>
      <c r="AX254" s="42"/>
      <c r="AY254" s="42"/>
      <c r="AZ254" s="42"/>
    </row>
    <row r="255" customFormat="false" ht="15" hidden="false" customHeight="false" outlineLevel="0" collapsed="false">
      <c r="A255" s="34" t="s">
        <v>739</v>
      </c>
      <c r="B255" s="35" t="s">
        <v>740</v>
      </c>
      <c r="C255" s="36" t="n">
        <v>94971</v>
      </c>
      <c r="D255" s="37" t="s">
        <v>729</v>
      </c>
      <c r="E255" s="38" t="s">
        <v>84</v>
      </c>
      <c r="F255" s="39" t="n">
        <v>4.31</v>
      </c>
      <c r="G255" s="40" t="n">
        <v>361</v>
      </c>
      <c r="H255" s="40" t="n">
        <v>48.35</v>
      </c>
      <c r="I255" s="40" t="n">
        <f aca="false">G255+H255</f>
        <v>409.35</v>
      </c>
      <c r="J255" s="40" t="n">
        <f aca="false">G255*F255</f>
        <v>1555.91</v>
      </c>
      <c r="K255" s="40" t="n">
        <f aca="false">H255*F255</f>
        <v>208.3885</v>
      </c>
      <c r="L255" s="40" t="n">
        <f aca="false">J255+K255</f>
        <v>1764.2985</v>
      </c>
      <c r="M255" s="40" t="n">
        <f aca="false">ROUND(L255*(1+$M$4),2)</f>
        <v>2223.37</v>
      </c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F255" s="41"/>
      <c r="AG255" s="41"/>
      <c r="AH255" s="41"/>
      <c r="AI255" s="41"/>
      <c r="AJ255" s="42"/>
      <c r="AK255" s="42"/>
      <c r="AL255" s="42"/>
      <c r="AM255" s="42"/>
      <c r="AN255" s="42"/>
      <c r="AO255" s="42"/>
      <c r="AP255" s="42"/>
      <c r="AQ255" s="42"/>
      <c r="AR255" s="42"/>
      <c r="AS255" s="42"/>
      <c r="AT255" s="42"/>
      <c r="AU255" s="42"/>
      <c r="AV255" s="42"/>
      <c r="AW255" s="42"/>
      <c r="AX255" s="42"/>
      <c r="AY255" s="42"/>
      <c r="AZ255" s="42"/>
    </row>
    <row r="256" customFormat="false" ht="15" hidden="false" customHeight="false" outlineLevel="0" collapsed="false">
      <c r="A256" s="34" t="s">
        <v>741</v>
      </c>
      <c r="B256" s="35" t="s">
        <v>742</v>
      </c>
      <c r="C256" s="36" t="s">
        <v>743</v>
      </c>
      <c r="D256" s="37" t="s">
        <v>744</v>
      </c>
      <c r="E256" s="38" t="s">
        <v>84</v>
      </c>
      <c r="F256" s="39" t="n">
        <f aca="false">44*(0.3+0.3+0.15)+(F247)</f>
        <v>37.4</v>
      </c>
      <c r="G256" s="40" t="n">
        <v>19.02</v>
      </c>
      <c r="H256" s="40" t="n">
        <v>22.86</v>
      </c>
      <c r="I256" s="40" t="n">
        <f aca="false">G256+H256</f>
        <v>41.88</v>
      </c>
      <c r="J256" s="40" t="n">
        <f aca="false">G256*F256</f>
        <v>711.348</v>
      </c>
      <c r="K256" s="40" t="n">
        <f aca="false">H256*F256</f>
        <v>854.964</v>
      </c>
      <c r="L256" s="40" t="n">
        <f aca="false">J256+K256</f>
        <v>1566.312</v>
      </c>
      <c r="M256" s="40" t="n">
        <f aca="false">ROUND(L256*(1+$M$4),2)</f>
        <v>1973.87</v>
      </c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F256" s="41"/>
      <c r="AG256" s="41"/>
      <c r="AH256" s="41"/>
      <c r="AI256" s="41"/>
      <c r="AJ256" s="42"/>
      <c r="AK256" s="42"/>
      <c r="AL256" s="42"/>
      <c r="AM256" s="42"/>
      <c r="AN256" s="42"/>
      <c r="AO256" s="42"/>
      <c r="AP256" s="42"/>
      <c r="AQ256" s="42"/>
      <c r="AR256" s="42"/>
      <c r="AS256" s="42"/>
      <c r="AT256" s="42"/>
      <c r="AU256" s="42"/>
      <c r="AV256" s="42"/>
      <c r="AW256" s="42"/>
      <c r="AX256" s="42"/>
      <c r="AY256" s="42"/>
      <c r="AZ256" s="42"/>
    </row>
    <row r="257" customFormat="false" ht="15" hidden="false" customHeight="false" outlineLevel="0" collapsed="false">
      <c r="A257" s="34" t="s">
        <v>745</v>
      </c>
      <c r="B257" s="35" t="s">
        <v>746</v>
      </c>
      <c r="C257" s="36" t="s">
        <v>716</v>
      </c>
      <c r="D257" s="37" t="s">
        <v>717</v>
      </c>
      <c r="E257" s="38" t="s">
        <v>84</v>
      </c>
      <c r="F257" s="39" t="n">
        <f aca="false">(2.8*(0.15+0.15+0.3+0.3)*10)/2</f>
        <v>12.6</v>
      </c>
      <c r="G257" s="40" t="n">
        <v>50.41</v>
      </c>
      <c r="H257" s="40" t="n">
        <v>29.92</v>
      </c>
      <c r="I257" s="40" t="n">
        <f aca="false">G257+H257</f>
        <v>80.33</v>
      </c>
      <c r="J257" s="40" t="n">
        <f aca="false">G257*F257</f>
        <v>635.166</v>
      </c>
      <c r="K257" s="40" t="n">
        <f aca="false">H257*F257</f>
        <v>376.992</v>
      </c>
      <c r="L257" s="40" t="n">
        <f aca="false">J257+K257</f>
        <v>1012.158</v>
      </c>
      <c r="M257" s="40" t="n">
        <f aca="false">ROUND(L257*(1+$M$4),2)</f>
        <v>1275.52</v>
      </c>
      <c r="N257" s="41"/>
      <c r="O257" s="41"/>
      <c r="P257" s="41"/>
      <c r="Q257" s="41"/>
      <c r="R257" s="86" t="n">
        <f aca="false">F257</f>
        <v>12.6</v>
      </c>
      <c r="S257" s="41"/>
      <c r="T257" s="41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F257" s="41"/>
      <c r="AG257" s="41"/>
      <c r="AH257" s="41"/>
      <c r="AI257" s="41"/>
      <c r="AJ257" s="42"/>
      <c r="AK257" s="42"/>
      <c r="AL257" s="42"/>
      <c r="AM257" s="42"/>
      <c r="AN257" s="42"/>
      <c r="AO257" s="42"/>
      <c r="AP257" s="42"/>
      <c r="AQ257" s="42"/>
      <c r="AR257" s="42"/>
      <c r="AS257" s="42"/>
      <c r="AT257" s="42"/>
      <c r="AU257" s="42"/>
      <c r="AV257" s="42"/>
      <c r="AW257" s="42"/>
      <c r="AX257" s="42"/>
      <c r="AY257" s="42"/>
      <c r="AZ257" s="42"/>
    </row>
    <row r="258" customFormat="false" ht="15" hidden="false" customHeight="false" outlineLevel="0" collapsed="false">
      <c r="A258" s="34" t="s">
        <v>747</v>
      </c>
      <c r="B258" s="35" t="s">
        <v>748</v>
      </c>
      <c r="C258" s="36" t="s">
        <v>720</v>
      </c>
      <c r="D258" s="37" t="s">
        <v>721</v>
      </c>
      <c r="E258" s="38" t="s">
        <v>722</v>
      </c>
      <c r="F258" s="39" t="n">
        <v>36</v>
      </c>
      <c r="G258" s="40" t="n">
        <v>11.79</v>
      </c>
      <c r="H258" s="40" t="n">
        <v>3.83</v>
      </c>
      <c r="I258" s="40" t="n">
        <f aca="false">G258+H258</f>
        <v>15.62</v>
      </c>
      <c r="J258" s="40" t="n">
        <f aca="false">G258*F258</f>
        <v>424.44</v>
      </c>
      <c r="K258" s="40" t="n">
        <f aca="false">H258*F258</f>
        <v>137.88</v>
      </c>
      <c r="L258" s="40" t="n">
        <f aca="false">J258+K258</f>
        <v>562.32</v>
      </c>
      <c r="M258" s="40" t="n">
        <f aca="false">ROUND(L258*(1+$M$4),2)</f>
        <v>708.64</v>
      </c>
      <c r="N258" s="41"/>
      <c r="O258" s="41"/>
      <c r="P258" s="41"/>
      <c r="Q258" s="41"/>
      <c r="R258" s="86" t="n">
        <f aca="false">F258</f>
        <v>36</v>
      </c>
      <c r="S258" s="41"/>
      <c r="T258" s="41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F258" s="41"/>
      <c r="AG258" s="41"/>
      <c r="AH258" s="41"/>
      <c r="AI258" s="41"/>
      <c r="AJ258" s="42"/>
      <c r="AK258" s="42"/>
      <c r="AL258" s="42"/>
      <c r="AM258" s="42"/>
      <c r="AN258" s="42"/>
      <c r="AO258" s="42"/>
      <c r="AP258" s="42"/>
      <c r="AQ258" s="42"/>
      <c r="AR258" s="42"/>
      <c r="AS258" s="42"/>
      <c r="AT258" s="42"/>
      <c r="AU258" s="42"/>
      <c r="AV258" s="42"/>
      <c r="AW258" s="42"/>
      <c r="AX258" s="42"/>
      <c r="AY258" s="42"/>
      <c r="AZ258" s="42"/>
    </row>
    <row r="259" customFormat="false" ht="15" hidden="false" customHeight="false" outlineLevel="0" collapsed="false">
      <c r="A259" s="34" t="s">
        <v>749</v>
      </c>
      <c r="B259" s="35" t="s">
        <v>748</v>
      </c>
      <c r="C259" s="36" t="s">
        <v>725</v>
      </c>
      <c r="D259" s="37" t="s">
        <v>726</v>
      </c>
      <c r="E259" s="38" t="s">
        <v>722</v>
      </c>
      <c r="F259" s="39" t="n">
        <v>145</v>
      </c>
      <c r="G259" s="40" t="n">
        <v>11.7</v>
      </c>
      <c r="H259" s="40" t="n">
        <v>1.1</v>
      </c>
      <c r="I259" s="40" t="n">
        <f aca="false">G259+H259</f>
        <v>12.8</v>
      </c>
      <c r="J259" s="40" t="n">
        <f aca="false">G259*F259</f>
        <v>1696.5</v>
      </c>
      <c r="K259" s="40" t="n">
        <f aca="false">H259*F259</f>
        <v>159.5</v>
      </c>
      <c r="L259" s="40" t="n">
        <f aca="false">J259+K259</f>
        <v>1856</v>
      </c>
      <c r="M259" s="40" t="n">
        <f aca="false">ROUND(L259*(1+$M$4),2)</f>
        <v>2338.93</v>
      </c>
      <c r="N259" s="41"/>
      <c r="O259" s="41"/>
      <c r="P259" s="41"/>
      <c r="Q259" s="41"/>
      <c r="R259" s="86" t="n">
        <f aca="false">F259</f>
        <v>145</v>
      </c>
      <c r="S259" s="41"/>
      <c r="T259" s="41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F259" s="41"/>
      <c r="AG259" s="41"/>
      <c r="AH259" s="41"/>
      <c r="AI259" s="41"/>
      <c r="AJ259" s="42"/>
      <c r="AK259" s="42"/>
      <c r="AL259" s="42"/>
      <c r="AM259" s="42"/>
      <c r="AN259" s="42"/>
      <c r="AO259" s="42"/>
      <c r="AP259" s="42"/>
      <c r="AQ259" s="42"/>
      <c r="AR259" s="42"/>
      <c r="AS259" s="42"/>
      <c r="AT259" s="42"/>
      <c r="AU259" s="42"/>
      <c r="AV259" s="42"/>
      <c r="AW259" s="42"/>
      <c r="AX259" s="42"/>
      <c r="AY259" s="42"/>
      <c r="AZ259" s="42"/>
    </row>
    <row r="260" customFormat="false" ht="15" hidden="false" customHeight="false" outlineLevel="0" collapsed="false">
      <c r="A260" s="34" t="s">
        <v>750</v>
      </c>
      <c r="B260" s="35" t="s">
        <v>751</v>
      </c>
      <c r="C260" s="36" t="n">
        <v>94971</v>
      </c>
      <c r="D260" s="37" t="s">
        <v>729</v>
      </c>
      <c r="E260" s="38" t="s">
        <v>84</v>
      </c>
      <c r="F260" s="39" t="n">
        <f aca="false">10*0.15*0.3*2.8</f>
        <v>1.26</v>
      </c>
      <c r="G260" s="40" t="n">
        <v>361</v>
      </c>
      <c r="H260" s="40" t="n">
        <v>48.35</v>
      </c>
      <c r="I260" s="40" t="n">
        <f aca="false">G260+H260</f>
        <v>409.35</v>
      </c>
      <c r="J260" s="40" t="n">
        <f aca="false">G260*F260</f>
        <v>454.86</v>
      </c>
      <c r="K260" s="40" t="n">
        <f aca="false">H260*F260</f>
        <v>60.921</v>
      </c>
      <c r="L260" s="40" t="n">
        <f aca="false">J260+K260</f>
        <v>515.781</v>
      </c>
      <c r="M260" s="40" t="n">
        <f aca="false">ROUND(L260*(1+$M$4),2)</f>
        <v>649.99</v>
      </c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F260" s="41"/>
      <c r="AG260" s="41"/>
      <c r="AH260" s="41"/>
      <c r="AI260" s="41"/>
      <c r="AJ260" s="42"/>
      <c r="AK260" s="42"/>
      <c r="AL260" s="42"/>
      <c r="AM260" s="42"/>
      <c r="AN260" s="42"/>
      <c r="AO260" s="42"/>
      <c r="AP260" s="42"/>
      <c r="AQ260" s="42"/>
      <c r="AR260" s="42"/>
      <c r="AS260" s="42"/>
      <c r="AT260" s="42"/>
      <c r="AU260" s="42"/>
      <c r="AV260" s="42"/>
      <c r="AW260" s="42"/>
      <c r="AX260" s="42"/>
      <c r="AY260" s="42"/>
      <c r="AZ260" s="42"/>
    </row>
    <row r="261" customFormat="false" ht="15" hidden="false" customHeight="false" outlineLevel="0" collapsed="false">
      <c r="A261" s="34" t="s">
        <v>752</v>
      </c>
      <c r="B261" s="35" t="s">
        <v>753</v>
      </c>
      <c r="C261" s="36" t="s">
        <v>754</v>
      </c>
      <c r="D261" s="37" t="s">
        <v>755</v>
      </c>
      <c r="E261" s="38" t="s">
        <v>84</v>
      </c>
      <c r="F261" s="39" t="n">
        <v>8</v>
      </c>
      <c r="G261" s="40" t="n">
        <v>55.65</v>
      </c>
      <c r="H261" s="40" t="n">
        <v>6.02</v>
      </c>
      <c r="I261" s="40" t="n">
        <f aca="false">G261+H261</f>
        <v>61.67</v>
      </c>
      <c r="J261" s="40" t="n">
        <f aca="false">G261*F261</f>
        <v>445.2</v>
      </c>
      <c r="K261" s="40" t="n">
        <f aca="false">H261*F261</f>
        <v>48.16</v>
      </c>
      <c r="L261" s="40" t="n">
        <f aca="false">J261+K261</f>
        <v>493.36</v>
      </c>
      <c r="M261" s="40" t="n">
        <f aca="false">ROUND(L261*(1+$M$4),2)</f>
        <v>621.73</v>
      </c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F261" s="41"/>
      <c r="AG261" s="41"/>
      <c r="AH261" s="41"/>
      <c r="AI261" s="41"/>
      <c r="AJ261" s="42"/>
      <c r="AK261" s="42"/>
      <c r="AL261" s="42"/>
      <c r="AM261" s="42"/>
      <c r="AN261" s="42"/>
      <c r="AO261" s="42"/>
      <c r="AP261" s="42"/>
      <c r="AQ261" s="42"/>
      <c r="AR261" s="42"/>
      <c r="AS261" s="42"/>
      <c r="AT261" s="42"/>
      <c r="AU261" s="42"/>
      <c r="AV261" s="42"/>
      <c r="AW261" s="42"/>
      <c r="AX261" s="42"/>
      <c r="AY261" s="42"/>
      <c r="AZ261" s="42"/>
    </row>
    <row r="262" customFormat="false" ht="15" hidden="false" customHeight="false" outlineLevel="0" collapsed="false">
      <c r="A262" s="34" t="s">
        <v>756</v>
      </c>
      <c r="B262" s="35" t="s">
        <v>757</v>
      </c>
      <c r="C262" s="36" t="s">
        <v>758</v>
      </c>
      <c r="D262" s="37" t="s">
        <v>759</v>
      </c>
      <c r="E262" s="38" t="s">
        <v>396</v>
      </c>
      <c r="F262" s="39" t="n">
        <v>8</v>
      </c>
      <c r="G262" s="40" t="n">
        <v>40.14</v>
      </c>
      <c r="H262" s="40" t="n">
        <v>0</v>
      </c>
      <c r="I262" s="40" t="n">
        <f aca="false">G262+H262</f>
        <v>40.14</v>
      </c>
      <c r="J262" s="40" t="n">
        <f aca="false">G262*F262</f>
        <v>321.12</v>
      </c>
      <c r="K262" s="40" t="n">
        <f aca="false">H262*F262</f>
        <v>0</v>
      </c>
      <c r="L262" s="40" t="n">
        <f aca="false">J262+K262</f>
        <v>321.12</v>
      </c>
      <c r="M262" s="40" t="n">
        <f aca="false">ROUND(L262*(1+$M$4),2)</f>
        <v>404.68</v>
      </c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F262" s="41"/>
      <c r="AG262" s="41"/>
      <c r="AH262" s="41"/>
      <c r="AI262" s="41"/>
      <c r="AJ262" s="42"/>
      <c r="AK262" s="42"/>
      <c r="AL262" s="42"/>
      <c r="AM262" s="42"/>
      <c r="AN262" s="42"/>
      <c r="AO262" s="42"/>
      <c r="AP262" s="42"/>
      <c r="AQ262" s="42"/>
      <c r="AR262" s="42"/>
      <c r="AS262" s="42"/>
      <c r="AT262" s="42"/>
      <c r="AU262" s="42"/>
      <c r="AV262" s="42"/>
      <c r="AW262" s="42"/>
      <c r="AX262" s="42"/>
      <c r="AY262" s="42"/>
      <c r="AZ262" s="42"/>
    </row>
    <row r="263" customFormat="false" ht="15" hidden="false" customHeight="false" outlineLevel="0" collapsed="false">
      <c r="A263" s="67" t="s">
        <v>760</v>
      </c>
      <c r="B263" s="68" t="s">
        <v>761</v>
      </c>
      <c r="C263" s="68"/>
      <c r="D263" s="83"/>
      <c r="E263" s="83"/>
      <c r="F263" s="84"/>
      <c r="G263" s="85"/>
      <c r="H263" s="85"/>
      <c r="I263" s="85"/>
      <c r="J263" s="48" t="n">
        <f aca="false">SUM(J264:J270)</f>
        <v>16284.874</v>
      </c>
      <c r="K263" s="48" t="n">
        <f aca="false">SUM(K264:K270)</f>
        <v>2579.766</v>
      </c>
      <c r="L263" s="48" t="n">
        <f aca="false">SUM(L264:L270)</f>
        <v>18864.64</v>
      </c>
      <c r="M263" s="48" t="n">
        <f aca="false">SUM(M264:M270)</f>
        <v>23773.22</v>
      </c>
      <c r="N263" s="82" t="n">
        <f aca="false">M263</f>
        <v>23773.22</v>
      </c>
      <c r="O263" s="66"/>
      <c r="P263" s="66"/>
      <c r="Q263" s="66"/>
      <c r="R263" s="66"/>
      <c r="S263" s="66"/>
      <c r="T263" s="66"/>
      <c r="U263" s="66"/>
      <c r="V263" s="66"/>
      <c r="W263" s="66"/>
      <c r="X263" s="66"/>
      <c r="Y263" s="66"/>
      <c r="Z263" s="66"/>
      <c r="AA263" s="66"/>
      <c r="AB263" s="66"/>
      <c r="AC263" s="66"/>
      <c r="AD263" s="66"/>
      <c r="AE263" s="66"/>
      <c r="AF263" s="66"/>
      <c r="AG263" s="66"/>
      <c r="AH263" s="66"/>
      <c r="AI263" s="66"/>
      <c r="AJ263" s="66"/>
      <c r="AK263" s="66"/>
      <c r="AL263" s="66"/>
      <c r="AM263" s="66"/>
      <c r="AN263" s="66"/>
      <c r="AO263" s="66"/>
      <c r="AP263" s="66"/>
      <c r="AQ263" s="66"/>
      <c r="AR263" s="66"/>
      <c r="AS263" s="66"/>
      <c r="AT263" s="66"/>
      <c r="AU263" s="66"/>
      <c r="AV263" s="66"/>
      <c r="AW263" s="66"/>
      <c r="AX263" s="66"/>
      <c r="AY263" s="66"/>
      <c r="AZ263" s="66"/>
    </row>
    <row r="264" customFormat="false" ht="15" hidden="false" customHeight="false" outlineLevel="0" collapsed="false">
      <c r="A264" s="34" t="s">
        <v>762</v>
      </c>
      <c r="B264" s="35" t="s">
        <v>763</v>
      </c>
      <c r="C264" s="36" t="s">
        <v>764</v>
      </c>
      <c r="D264" s="37" t="s">
        <v>765</v>
      </c>
      <c r="E264" s="38" t="s">
        <v>14</v>
      </c>
      <c r="F264" s="39" t="n">
        <v>5</v>
      </c>
      <c r="G264" s="40" t="n">
        <v>1427.13</v>
      </c>
      <c r="H264" s="40" t="n">
        <v>167.36</v>
      </c>
      <c r="I264" s="40" t="n">
        <f aca="false">G264+H264</f>
        <v>1594.49</v>
      </c>
      <c r="J264" s="40" t="n">
        <f aca="false">G264*F264</f>
        <v>7135.65</v>
      </c>
      <c r="K264" s="40" t="n">
        <f aca="false">H264*F264</f>
        <v>836.8</v>
      </c>
      <c r="L264" s="40" t="n">
        <f aca="false">J264+K264</f>
        <v>7972.45</v>
      </c>
      <c r="M264" s="40" t="n">
        <f aca="false">ROUND(L264*(1+$M$4),2)</f>
        <v>10046.88</v>
      </c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F264" s="41"/>
      <c r="AG264" s="41"/>
      <c r="AH264" s="41"/>
      <c r="AI264" s="41"/>
      <c r="AJ264" s="42"/>
      <c r="AK264" s="42"/>
      <c r="AL264" s="42"/>
      <c r="AM264" s="42"/>
      <c r="AN264" s="42"/>
      <c r="AO264" s="42"/>
      <c r="AP264" s="42"/>
      <c r="AQ264" s="42"/>
      <c r="AR264" s="42"/>
      <c r="AS264" s="42"/>
      <c r="AT264" s="42"/>
      <c r="AU264" s="42"/>
      <c r="AV264" s="42"/>
      <c r="AW264" s="42"/>
      <c r="AX264" s="42"/>
      <c r="AY264" s="42"/>
      <c r="AZ264" s="42"/>
    </row>
    <row r="265" customFormat="false" ht="15" hidden="false" customHeight="false" outlineLevel="0" collapsed="false">
      <c r="A265" s="34" t="s">
        <v>766</v>
      </c>
      <c r="B265" s="35" t="s">
        <v>767</v>
      </c>
      <c r="C265" s="36" t="s">
        <v>768</v>
      </c>
      <c r="D265" s="37" t="s">
        <v>769</v>
      </c>
      <c r="E265" s="38" t="s">
        <v>84</v>
      </c>
      <c r="F265" s="39" t="n">
        <v>82</v>
      </c>
      <c r="G265" s="40" t="n">
        <v>25.1</v>
      </c>
      <c r="H265" s="40" t="n">
        <v>3.69</v>
      </c>
      <c r="I265" s="40" t="n">
        <f aca="false">G265+H265</f>
        <v>28.79</v>
      </c>
      <c r="J265" s="40" t="n">
        <f aca="false">G265*F265</f>
        <v>2058.2</v>
      </c>
      <c r="K265" s="40" t="n">
        <f aca="false">H265*F265</f>
        <v>302.58</v>
      </c>
      <c r="L265" s="40" t="n">
        <f aca="false">J265+K265</f>
        <v>2360.78</v>
      </c>
      <c r="M265" s="40" t="n">
        <f aca="false">ROUND(L265*(1+$M$4),2)</f>
        <v>2975.05</v>
      </c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F265" s="41"/>
      <c r="AG265" s="41"/>
      <c r="AH265" s="41"/>
      <c r="AI265" s="41"/>
      <c r="AJ265" s="42"/>
      <c r="AK265" s="42"/>
      <c r="AL265" s="42"/>
      <c r="AM265" s="42"/>
      <c r="AN265" s="42"/>
      <c r="AO265" s="42"/>
      <c r="AP265" s="42"/>
      <c r="AQ265" s="42"/>
      <c r="AR265" s="42"/>
      <c r="AS265" s="42"/>
      <c r="AT265" s="42"/>
      <c r="AU265" s="42"/>
      <c r="AV265" s="42"/>
      <c r="AW265" s="42"/>
      <c r="AX265" s="42"/>
      <c r="AY265" s="42"/>
      <c r="AZ265" s="42"/>
    </row>
    <row r="266" customFormat="false" ht="15" hidden="false" customHeight="false" outlineLevel="0" collapsed="false">
      <c r="A266" s="34" t="s">
        <v>770</v>
      </c>
      <c r="B266" s="35" t="s">
        <v>771</v>
      </c>
      <c r="C266" s="36" t="s">
        <v>772</v>
      </c>
      <c r="D266" s="37" t="s">
        <v>773</v>
      </c>
      <c r="E266" s="38" t="s">
        <v>84</v>
      </c>
      <c r="F266" s="39" t="n">
        <v>82</v>
      </c>
      <c r="G266" s="40" t="n">
        <v>13.42</v>
      </c>
      <c r="H266" s="40" t="n">
        <v>6.49</v>
      </c>
      <c r="I266" s="40" t="n">
        <f aca="false">G266+H266</f>
        <v>19.91</v>
      </c>
      <c r="J266" s="40" t="n">
        <f aca="false">G266*F266</f>
        <v>1100.44</v>
      </c>
      <c r="K266" s="40" t="n">
        <f aca="false">H266*F266</f>
        <v>532.18</v>
      </c>
      <c r="L266" s="40" t="n">
        <f aca="false">J266+K266</f>
        <v>1632.62</v>
      </c>
      <c r="M266" s="40" t="n">
        <f aca="false">ROUND(L266*(1+$M$4),2)</f>
        <v>2057.43</v>
      </c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F266" s="41"/>
      <c r="AG266" s="41"/>
      <c r="AH266" s="41"/>
      <c r="AI266" s="41"/>
      <c r="AJ266" s="42"/>
      <c r="AK266" s="42"/>
      <c r="AL266" s="42"/>
      <c r="AM266" s="42"/>
      <c r="AN266" s="42"/>
      <c r="AO266" s="42"/>
      <c r="AP266" s="42"/>
      <c r="AQ266" s="42"/>
      <c r="AR266" s="42"/>
      <c r="AS266" s="42"/>
      <c r="AT266" s="42"/>
      <c r="AU266" s="42"/>
      <c r="AV266" s="42"/>
      <c r="AW266" s="42"/>
      <c r="AX266" s="42"/>
      <c r="AY266" s="42"/>
      <c r="AZ266" s="42"/>
    </row>
    <row r="267" customFormat="false" ht="15" hidden="false" customHeight="false" outlineLevel="0" collapsed="false">
      <c r="A267" s="34" t="s">
        <v>774</v>
      </c>
      <c r="B267" s="35" t="s">
        <v>775</v>
      </c>
      <c r="C267" s="36" t="s">
        <v>776</v>
      </c>
      <c r="D267" s="37" t="s">
        <v>777</v>
      </c>
      <c r="E267" s="38" t="s">
        <v>84</v>
      </c>
      <c r="F267" s="39" t="n">
        <f aca="false">82*1.1</f>
        <v>90.2</v>
      </c>
      <c r="G267" s="40" t="n">
        <v>44.74</v>
      </c>
      <c r="H267" s="40" t="n">
        <v>5.34</v>
      </c>
      <c r="I267" s="40" t="n">
        <f aca="false">G267+H267</f>
        <v>50.08</v>
      </c>
      <c r="J267" s="40" t="n">
        <f aca="false">G267*F267</f>
        <v>4035.548</v>
      </c>
      <c r="K267" s="40" t="n">
        <f aca="false">H267*F267</f>
        <v>481.668</v>
      </c>
      <c r="L267" s="40" t="n">
        <f aca="false">J267+K267</f>
        <v>4517.216</v>
      </c>
      <c r="M267" s="40" t="n">
        <f aca="false">ROUND(L267*(1+$M$4),2)</f>
        <v>5692.6</v>
      </c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F267" s="41"/>
      <c r="AG267" s="41"/>
      <c r="AH267" s="41"/>
      <c r="AI267" s="41"/>
      <c r="AJ267" s="42"/>
      <c r="AK267" s="42"/>
      <c r="AL267" s="42"/>
      <c r="AM267" s="42"/>
      <c r="AN267" s="42"/>
      <c r="AO267" s="42"/>
      <c r="AP267" s="42"/>
      <c r="AQ267" s="42"/>
      <c r="AR267" s="42"/>
      <c r="AS267" s="42"/>
      <c r="AT267" s="42"/>
      <c r="AU267" s="42"/>
      <c r="AV267" s="42"/>
      <c r="AW267" s="42"/>
      <c r="AX267" s="42"/>
      <c r="AY267" s="42"/>
      <c r="AZ267" s="42"/>
    </row>
    <row r="268" customFormat="false" ht="15" hidden="false" customHeight="false" outlineLevel="0" collapsed="false">
      <c r="A268" s="34" t="s">
        <v>778</v>
      </c>
      <c r="B268" s="35" t="s">
        <v>779</v>
      </c>
      <c r="C268" s="36" t="s">
        <v>780</v>
      </c>
      <c r="D268" s="37" t="s">
        <v>781</v>
      </c>
      <c r="E268" s="38" t="s">
        <v>132</v>
      </c>
      <c r="F268" s="39" t="n">
        <v>12.8</v>
      </c>
      <c r="G268" s="40" t="n">
        <v>92.92</v>
      </c>
      <c r="H268" s="40" t="n">
        <v>11.81</v>
      </c>
      <c r="I268" s="40" t="n">
        <f aca="false">G268+H268</f>
        <v>104.73</v>
      </c>
      <c r="J268" s="40" t="n">
        <f aca="false">G268*F268</f>
        <v>1189.376</v>
      </c>
      <c r="K268" s="40" t="n">
        <f aca="false">H268*F268</f>
        <v>151.168</v>
      </c>
      <c r="L268" s="40" t="n">
        <f aca="false">J268+K268</f>
        <v>1340.544</v>
      </c>
      <c r="M268" s="40" t="n">
        <f aca="false">ROUND(L268*(1+$M$4),2)</f>
        <v>1689.35</v>
      </c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F268" s="41"/>
      <c r="AG268" s="41"/>
      <c r="AH268" s="41"/>
      <c r="AI268" s="41"/>
      <c r="AJ268" s="42"/>
      <c r="AK268" s="42"/>
      <c r="AL268" s="42"/>
      <c r="AM268" s="42"/>
      <c r="AN268" s="42"/>
      <c r="AO268" s="42"/>
      <c r="AP268" s="42"/>
      <c r="AQ268" s="42"/>
      <c r="AR268" s="42"/>
      <c r="AS268" s="42"/>
      <c r="AT268" s="42"/>
      <c r="AU268" s="42"/>
      <c r="AV268" s="42"/>
      <c r="AW268" s="42"/>
      <c r="AX268" s="42"/>
      <c r="AY268" s="42"/>
      <c r="AZ268" s="42"/>
    </row>
    <row r="269" customFormat="false" ht="15" hidden="false" customHeight="false" outlineLevel="0" collapsed="false">
      <c r="A269" s="34" t="s">
        <v>782</v>
      </c>
      <c r="B269" s="35" t="s">
        <v>783</v>
      </c>
      <c r="C269" s="36" t="s">
        <v>784</v>
      </c>
      <c r="D269" s="37" t="s">
        <v>785</v>
      </c>
      <c r="E269" s="38" t="s">
        <v>132</v>
      </c>
      <c r="F269" s="39" t="n">
        <v>7</v>
      </c>
      <c r="G269" s="40" t="n">
        <v>61.98</v>
      </c>
      <c r="H269" s="40" t="n">
        <v>7.11</v>
      </c>
      <c r="I269" s="40" t="n">
        <f aca="false">G269+H269</f>
        <v>69.09</v>
      </c>
      <c r="J269" s="40" t="n">
        <f aca="false">G269*F269</f>
        <v>433.86</v>
      </c>
      <c r="K269" s="40" t="n">
        <f aca="false">H269*F269</f>
        <v>49.77</v>
      </c>
      <c r="L269" s="40" t="n">
        <f aca="false">J269+K269</f>
        <v>483.63</v>
      </c>
      <c r="M269" s="40" t="n">
        <f aca="false">ROUND(L269*(1+$M$4),2)</f>
        <v>609.47</v>
      </c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F269" s="41"/>
      <c r="AG269" s="41"/>
      <c r="AH269" s="41"/>
      <c r="AI269" s="41"/>
      <c r="AJ269" s="42"/>
      <c r="AK269" s="42"/>
      <c r="AL269" s="42"/>
      <c r="AM269" s="42"/>
      <c r="AN269" s="42"/>
      <c r="AO269" s="42"/>
      <c r="AP269" s="42"/>
      <c r="AQ269" s="42"/>
      <c r="AR269" s="42"/>
      <c r="AS269" s="42"/>
      <c r="AT269" s="42"/>
      <c r="AU269" s="42"/>
      <c r="AV269" s="42"/>
      <c r="AW269" s="42"/>
      <c r="AX269" s="42"/>
      <c r="AY269" s="42"/>
      <c r="AZ269" s="42"/>
    </row>
    <row r="270" customFormat="false" ht="15" hidden="false" customHeight="false" outlineLevel="0" collapsed="false">
      <c r="A270" s="34" t="s">
        <v>786</v>
      </c>
      <c r="B270" s="35" t="s">
        <v>787</v>
      </c>
      <c r="C270" s="36" t="s">
        <v>788</v>
      </c>
      <c r="D270" s="37" t="s">
        <v>789</v>
      </c>
      <c r="E270" s="38" t="s">
        <v>132</v>
      </c>
      <c r="F270" s="39" t="n">
        <v>30</v>
      </c>
      <c r="G270" s="40" t="n">
        <v>11.06</v>
      </c>
      <c r="H270" s="40" t="n">
        <f aca="false">18.58-G270</f>
        <v>7.52</v>
      </c>
      <c r="I270" s="40" t="n">
        <f aca="false">G270+H270</f>
        <v>18.58</v>
      </c>
      <c r="J270" s="40" t="n">
        <f aca="false">G270*F270</f>
        <v>331.8</v>
      </c>
      <c r="K270" s="40" t="n">
        <f aca="false">H270*F270</f>
        <v>225.6</v>
      </c>
      <c r="L270" s="40" t="n">
        <f aca="false">J270+K270</f>
        <v>557.4</v>
      </c>
      <c r="M270" s="40" t="n">
        <f aca="false">ROUND(L270*(1+$M$4),2)</f>
        <v>702.44</v>
      </c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F270" s="41"/>
      <c r="AG270" s="41"/>
      <c r="AH270" s="41"/>
      <c r="AI270" s="41"/>
      <c r="AJ270" s="42"/>
      <c r="AK270" s="42"/>
      <c r="AL270" s="42"/>
      <c r="AM270" s="42"/>
      <c r="AN270" s="42"/>
      <c r="AO270" s="42"/>
      <c r="AP270" s="42"/>
      <c r="AQ270" s="42"/>
      <c r="AR270" s="42"/>
      <c r="AS270" s="42"/>
      <c r="AT270" s="42"/>
      <c r="AU270" s="42"/>
      <c r="AV270" s="42"/>
      <c r="AW270" s="42"/>
      <c r="AX270" s="42"/>
      <c r="AY270" s="42"/>
      <c r="AZ270" s="42"/>
    </row>
    <row r="271" customFormat="false" ht="15" hidden="false" customHeight="false" outlineLevel="0" collapsed="false">
      <c r="A271" s="67" t="s">
        <v>790</v>
      </c>
      <c r="B271" s="68" t="s">
        <v>791</v>
      </c>
      <c r="C271" s="68"/>
      <c r="D271" s="83"/>
      <c r="E271" s="83"/>
      <c r="F271" s="84"/>
      <c r="G271" s="85"/>
      <c r="H271" s="85"/>
      <c r="I271" s="85"/>
      <c r="J271" s="48" t="n">
        <f aca="false">SUM(J272:J276)</f>
        <v>6592.312</v>
      </c>
      <c r="K271" s="48" t="n">
        <f aca="false">SUM(K272:K276)</f>
        <v>1618.254</v>
      </c>
      <c r="L271" s="48" t="n">
        <f aca="false">SUM(L272:L276)</f>
        <v>8210.566</v>
      </c>
      <c r="M271" s="48" t="n">
        <f aca="false">SUM(M272:M276)</f>
        <v>10346.96</v>
      </c>
      <c r="N271" s="82" t="n">
        <f aca="false">M271</f>
        <v>10346.96</v>
      </c>
      <c r="O271" s="66"/>
      <c r="P271" s="66"/>
      <c r="Q271" s="66"/>
      <c r="R271" s="66"/>
      <c r="S271" s="66"/>
      <c r="T271" s="66"/>
      <c r="U271" s="66"/>
      <c r="V271" s="66"/>
      <c r="W271" s="66"/>
      <c r="X271" s="66"/>
      <c r="Y271" s="66"/>
      <c r="Z271" s="66"/>
      <c r="AA271" s="66"/>
      <c r="AB271" s="66"/>
      <c r="AC271" s="66"/>
      <c r="AD271" s="66"/>
      <c r="AE271" s="66"/>
      <c r="AF271" s="66"/>
      <c r="AG271" s="66"/>
      <c r="AH271" s="66"/>
      <c r="AI271" s="66"/>
      <c r="AJ271" s="66"/>
      <c r="AK271" s="66"/>
      <c r="AL271" s="66"/>
      <c r="AM271" s="66"/>
      <c r="AN271" s="66"/>
      <c r="AO271" s="66"/>
      <c r="AP271" s="66"/>
      <c r="AQ271" s="66"/>
      <c r="AR271" s="66"/>
      <c r="AS271" s="66"/>
      <c r="AT271" s="66"/>
      <c r="AU271" s="66"/>
      <c r="AV271" s="66"/>
      <c r="AW271" s="66"/>
      <c r="AX271" s="66"/>
      <c r="AY271" s="66"/>
      <c r="AZ271" s="66"/>
    </row>
    <row r="272" customFormat="false" ht="15" hidden="false" customHeight="false" outlineLevel="0" collapsed="false">
      <c r="A272" s="34" t="s">
        <v>792</v>
      </c>
      <c r="B272" s="35" t="s">
        <v>793</v>
      </c>
      <c r="C272" s="36" t="s">
        <v>108</v>
      </c>
      <c r="D272" s="37" t="s">
        <v>109</v>
      </c>
      <c r="E272" s="38" t="s">
        <v>29</v>
      </c>
      <c r="F272" s="39" t="n">
        <f aca="false">60*0.06</f>
        <v>3.6</v>
      </c>
      <c r="G272" s="40" t="n">
        <v>535.24</v>
      </c>
      <c r="H272" s="40" t="n">
        <v>89.87</v>
      </c>
      <c r="I272" s="40" t="n">
        <f aca="false">G272+H272</f>
        <v>625.11</v>
      </c>
      <c r="J272" s="40" t="n">
        <f aca="false">G272*F272</f>
        <v>1926.864</v>
      </c>
      <c r="K272" s="40" t="n">
        <f aca="false">H272*F272</f>
        <v>323.532</v>
      </c>
      <c r="L272" s="40" t="n">
        <f aca="false">J272+K272</f>
        <v>2250.396</v>
      </c>
      <c r="M272" s="40" t="n">
        <f aca="false">ROUND(L272*(1+$M$4),2)</f>
        <v>2835.95</v>
      </c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F272" s="41"/>
      <c r="AG272" s="41"/>
      <c r="AH272" s="41"/>
      <c r="AI272" s="41"/>
      <c r="AJ272" s="42"/>
      <c r="AK272" s="42"/>
      <c r="AL272" s="42"/>
      <c r="AM272" s="42"/>
      <c r="AN272" s="42"/>
      <c r="AO272" s="42"/>
      <c r="AP272" s="42"/>
      <c r="AQ272" s="42"/>
      <c r="AR272" s="42"/>
      <c r="AS272" s="42"/>
      <c r="AT272" s="42"/>
      <c r="AU272" s="42"/>
      <c r="AV272" s="42"/>
      <c r="AW272" s="42"/>
      <c r="AX272" s="42"/>
      <c r="AY272" s="42"/>
      <c r="AZ272" s="42"/>
    </row>
    <row r="273" customFormat="false" ht="15" hidden="false" customHeight="false" outlineLevel="0" collapsed="false">
      <c r="A273" s="34" t="s">
        <v>794</v>
      </c>
      <c r="B273" s="35" t="s">
        <v>793</v>
      </c>
      <c r="C273" s="36" t="s">
        <v>795</v>
      </c>
      <c r="D273" s="37" t="s">
        <v>796</v>
      </c>
      <c r="E273" s="38" t="s">
        <v>84</v>
      </c>
      <c r="F273" s="39" t="n">
        <v>60</v>
      </c>
      <c r="G273" s="40" t="n">
        <v>2.51</v>
      </c>
      <c r="H273" s="40" t="n">
        <v>0.18</v>
      </c>
      <c r="I273" s="40" t="n">
        <f aca="false">G273+H273</f>
        <v>2.69</v>
      </c>
      <c r="J273" s="40" t="n">
        <f aca="false">G273*F273</f>
        <v>150.6</v>
      </c>
      <c r="K273" s="40" t="n">
        <f aca="false">H273*F273</f>
        <v>10.8</v>
      </c>
      <c r="L273" s="40" t="n">
        <f aca="false">J273+K273</f>
        <v>161.4</v>
      </c>
      <c r="M273" s="40" t="n">
        <f aca="false">ROUND(L273*(1+$M$4),2)</f>
        <v>203.4</v>
      </c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F273" s="41"/>
      <c r="AG273" s="41"/>
      <c r="AH273" s="41"/>
      <c r="AI273" s="41"/>
      <c r="AJ273" s="42"/>
      <c r="AK273" s="42"/>
      <c r="AL273" s="42"/>
      <c r="AM273" s="42"/>
      <c r="AN273" s="42"/>
      <c r="AO273" s="42"/>
      <c r="AP273" s="42"/>
      <c r="AQ273" s="42"/>
      <c r="AR273" s="42"/>
      <c r="AS273" s="42"/>
      <c r="AT273" s="42"/>
      <c r="AU273" s="42"/>
      <c r="AV273" s="42"/>
      <c r="AW273" s="42"/>
      <c r="AX273" s="42"/>
      <c r="AY273" s="42"/>
      <c r="AZ273" s="42"/>
    </row>
    <row r="274" customFormat="false" ht="15" hidden="false" customHeight="false" outlineLevel="0" collapsed="false">
      <c r="A274" s="34" t="s">
        <v>797</v>
      </c>
      <c r="B274" s="35" t="s">
        <v>798</v>
      </c>
      <c r="C274" s="36" t="s">
        <v>799</v>
      </c>
      <c r="D274" s="37" t="s">
        <v>800</v>
      </c>
      <c r="E274" s="38" t="s">
        <v>37</v>
      </c>
      <c r="F274" s="39" t="n">
        <v>60</v>
      </c>
      <c r="G274" s="40" t="n">
        <v>19.54</v>
      </c>
      <c r="H274" s="40" t="n">
        <v>8.37</v>
      </c>
      <c r="I274" s="40" t="n">
        <f aca="false">G274+H274</f>
        <v>27.91</v>
      </c>
      <c r="J274" s="40" t="n">
        <f aca="false">G274*F274</f>
        <v>1172.4</v>
      </c>
      <c r="K274" s="40" t="n">
        <f aca="false">H274*F274</f>
        <v>502.2</v>
      </c>
      <c r="L274" s="40" t="n">
        <f aca="false">J274+K274</f>
        <v>1674.6</v>
      </c>
      <c r="M274" s="40" t="n">
        <f aca="false">ROUND(L274*(1+$M$4),2)</f>
        <v>2110.33</v>
      </c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F274" s="41"/>
      <c r="AG274" s="41"/>
      <c r="AH274" s="41"/>
      <c r="AI274" s="41"/>
      <c r="AJ274" s="42"/>
      <c r="AK274" s="42"/>
      <c r="AL274" s="42"/>
      <c r="AM274" s="42"/>
      <c r="AN274" s="42"/>
      <c r="AO274" s="42"/>
      <c r="AP274" s="42"/>
      <c r="AQ274" s="42"/>
      <c r="AR274" s="42"/>
      <c r="AS274" s="42"/>
      <c r="AT274" s="42"/>
      <c r="AU274" s="42"/>
      <c r="AV274" s="42"/>
      <c r="AW274" s="42"/>
      <c r="AX274" s="42"/>
      <c r="AY274" s="42"/>
      <c r="AZ274" s="42"/>
    </row>
    <row r="275" customFormat="false" ht="15" hidden="false" customHeight="false" outlineLevel="0" collapsed="false">
      <c r="A275" s="34" t="s">
        <v>801</v>
      </c>
      <c r="B275" s="35" t="s">
        <v>802</v>
      </c>
      <c r="C275" s="36" t="s">
        <v>298</v>
      </c>
      <c r="D275" s="37" t="s">
        <v>299</v>
      </c>
      <c r="E275" s="38" t="s">
        <v>84</v>
      </c>
      <c r="F275" s="39" t="n">
        <f aca="false">60+3.4</f>
        <v>63.4</v>
      </c>
      <c r="G275" s="40" t="n">
        <v>40.64</v>
      </c>
      <c r="H275" s="40" t="n">
        <v>7.65</v>
      </c>
      <c r="I275" s="40" t="n">
        <f aca="false">G275+H275</f>
        <v>48.29</v>
      </c>
      <c r="J275" s="40" t="n">
        <f aca="false">G275*F275</f>
        <v>2576.576</v>
      </c>
      <c r="K275" s="40" t="n">
        <f aca="false">H275*F275</f>
        <v>485.01</v>
      </c>
      <c r="L275" s="40" t="n">
        <f aca="false">J275+K275</f>
        <v>3061.586</v>
      </c>
      <c r="M275" s="40" t="n">
        <f aca="false">ROUND(L275*(1+$M$4),2)</f>
        <v>3858.21</v>
      </c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F275" s="41"/>
      <c r="AG275" s="41"/>
      <c r="AH275" s="41"/>
      <c r="AI275" s="41"/>
      <c r="AJ275" s="42"/>
      <c r="AK275" s="42"/>
      <c r="AL275" s="42"/>
      <c r="AM275" s="42"/>
      <c r="AN275" s="42"/>
      <c r="AO275" s="42"/>
      <c r="AP275" s="42"/>
      <c r="AQ275" s="42"/>
      <c r="AR275" s="42"/>
      <c r="AS275" s="42"/>
      <c r="AT275" s="42"/>
      <c r="AU275" s="42"/>
      <c r="AV275" s="42"/>
      <c r="AW275" s="42"/>
      <c r="AX275" s="42"/>
      <c r="AY275" s="42"/>
      <c r="AZ275" s="42"/>
    </row>
    <row r="276" customFormat="false" ht="15" hidden="false" customHeight="false" outlineLevel="0" collapsed="false">
      <c r="A276" s="34" t="s">
        <v>803</v>
      </c>
      <c r="B276" s="35" t="s">
        <v>804</v>
      </c>
      <c r="C276" s="36" t="s">
        <v>301</v>
      </c>
      <c r="D276" s="37" t="s">
        <v>805</v>
      </c>
      <c r="E276" s="38" t="s">
        <v>84</v>
      </c>
      <c r="F276" s="39" t="n">
        <f aca="false">F275</f>
        <v>63.4</v>
      </c>
      <c r="G276" s="40" t="n">
        <v>12.08</v>
      </c>
      <c r="H276" s="40" t="n">
        <f aca="false">I276-G276</f>
        <v>4.68</v>
      </c>
      <c r="I276" s="40" t="n">
        <f aca="false">16.76</f>
        <v>16.76</v>
      </c>
      <c r="J276" s="40" t="n">
        <f aca="false">G276*F276</f>
        <v>765.872</v>
      </c>
      <c r="K276" s="40" t="n">
        <f aca="false">H276*F276</f>
        <v>296.712</v>
      </c>
      <c r="L276" s="40" t="n">
        <f aca="false">I276*F276</f>
        <v>1062.584</v>
      </c>
      <c r="M276" s="40" t="n">
        <f aca="false">ROUND(L276*(1+$M$4),2)</f>
        <v>1339.07</v>
      </c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F276" s="41"/>
      <c r="AG276" s="41"/>
      <c r="AH276" s="41"/>
      <c r="AI276" s="41"/>
      <c r="AJ276" s="42"/>
      <c r="AK276" s="42"/>
      <c r="AL276" s="42"/>
      <c r="AM276" s="42"/>
      <c r="AN276" s="42"/>
      <c r="AO276" s="42"/>
      <c r="AP276" s="42"/>
      <c r="AQ276" s="42"/>
      <c r="AR276" s="42"/>
      <c r="AS276" s="42"/>
      <c r="AT276" s="42"/>
      <c r="AU276" s="42"/>
      <c r="AV276" s="42"/>
      <c r="AW276" s="42"/>
      <c r="AX276" s="42"/>
      <c r="AY276" s="42"/>
      <c r="AZ276" s="42"/>
    </row>
    <row r="277" customFormat="false" ht="15" hidden="false" customHeight="false" outlineLevel="0" collapsed="false">
      <c r="A277" s="67" t="s">
        <v>806</v>
      </c>
      <c r="B277" s="68" t="s">
        <v>807</v>
      </c>
      <c r="C277" s="68"/>
      <c r="D277" s="83"/>
      <c r="E277" s="83"/>
      <c r="F277" s="84"/>
      <c r="G277" s="85"/>
      <c r="H277" s="85"/>
      <c r="I277" s="85"/>
      <c r="J277" s="48" t="n">
        <f aca="false">SUM(J278:J283)</f>
        <v>13254.049</v>
      </c>
      <c r="K277" s="48" t="n">
        <f aca="false">SUM(K278:K283)</f>
        <v>10571.208</v>
      </c>
      <c r="L277" s="48" t="n">
        <f aca="false">SUM(L278:L283)</f>
        <v>23825.257</v>
      </c>
      <c r="M277" s="48" t="n">
        <f aca="false">SUM(M278:M283)</f>
        <v>30024.6</v>
      </c>
      <c r="N277" s="82" t="n">
        <f aca="false">M277</f>
        <v>30024.6</v>
      </c>
      <c r="O277" s="66"/>
      <c r="P277" s="66"/>
      <c r="Q277" s="66"/>
      <c r="R277" s="66"/>
      <c r="S277" s="66"/>
      <c r="T277" s="66"/>
      <c r="U277" s="66"/>
      <c r="V277" s="66"/>
      <c r="W277" s="66"/>
      <c r="X277" s="66"/>
      <c r="Y277" s="66"/>
      <c r="Z277" s="66"/>
      <c r="AA277" s="66"/>
      <c r="AB277" s="66"/>
      <c r="AC277" s="66"/>
      <c r="AD277" s="66"/>
      <c r="AE277" s="66"/>
      <c r="AF277" s="66"/>
      <c r="AG277" s="66"/>
      <c r="AH277" s="66"/>
      <c r="AI277" s="66"/>
      <c r="AJ277" s="66"/>
      <c r="AK277" s="66"/>
      <c r="AL277" s="66"/>
      <c r="AM277" s="66"/>
      <c r="AN277" s="66"/>
      <c r="AO277" s="66"/>
      <c r="AP277" s="66"/>
      <c r="AQ277" s="66"/>
      <c r="AR277" s="66"/>
      <c r="AS277" s="66"/>
      <c r="AT277" s="66"/>
      <c r="AU277" s="66"/>
      <c r="AV277" s="66"/>
      <c r="AW277" s="66"/>
      <c r="AX277" s="66"/>
      <c r="AY277" s="66"/>
      <c r="AZ277" s="66"/>
    </row>
    <row r="278" customFormat="false" ht="15" hidden="false" customHeight="false" outlineLevel="0" collapsed="false">
      <c r="A278" s="34" t="s">
        <v>808</v>
      </c>
      <c r="B278" s="35" t="s">
        <v>809</v>
      </c>
      <c r="C278" s="36" t="s">
        <v>58</v>
      </c>
      <c r="D278" s="37" t="s">
        <v>59</v>
      </c>
      <c r="E278" s="38" t="s">
        <v>84</v>
      </c>
      <c r="F278" s="39" t="n">
        <v>93.1</v>
      </c>
      <c r="G278" s="40" t="n">
        <v>75.42</v>
      </c>
      <c r="H278" s="40" t="n">
        <v>67.29</v>
      </c>
      <c r="I278" s="40" t="n">
        <f aca="false">G278+H278</f>
        <v>142.71</v>
      </c>
      <c r="J278" s="40" t="n">
        <f aca="false">G278*F278</f>
        <v>7021.602</v>
      </c>
      <c r="K278" s="40" t="n">
        <f aca="false">H278*F278</f>
        <v>6264.699</v>
      </c>
      <c r="L278" s="40" t="n">
        <f aca="false">J278+K278</f>
        <v>13286.301</v>
      </c>
      <c r="M278" s="40" t="n">
        <f aca="false">ROUND(L278*(1+$M$4),2)</f>
        <v>16743.4</v>
      </c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F278" s="41"/>
      <c r="AG278" s="41"/>
      <c r="AH278" s="41"/>
      <c r="AI278" s="41"/>
      <c r="AJ278" s="42"/>
      <c r="AK278" s="42"/>
      <c r="AL278" s="42"/>
      <c r="AM278" s="42"/>
      <c r="AN278" s="42"/>
      <c r="AO278" s="42"/>
      <c r="AP278" s="42"/>
      <c r="AQ278" s="42"/>
      <c r="AR278" s="42"/>
      <c r="AS278" s="42"/>
      <c r="AT278" s="42"/>
      <c r="AU278" s="42"/>
      <c r="AV278" s="42"/>
      <c r="AW278" s="42"/>
      <c r="AX278" s="42"/>
      <c r="AY278" s="42"/>
      <c r="AZ278" s="42"/>
    </row>
    <row r="279" customFormat="false" ht="15" hidden="false" customHeight="false" outlineLevel="0" collapsed="false">
      <c r="A279" s="34" t="s">
        <v>810</v>
      </c>
      <c r="B279" s="35" t="s">
        <v>811</v>
      </c>
      <c r="C279" s="36" t="n">
        <v>87879</v>
      </c>
      <c r="D279" s="37" t="s">
        <v>63</v>
      </c>
      <c r="E279" s="38" t="s">
        <v>84</v>
      </c>
      <c r="F279" s="39" t="n">
        <f aca="false">2*F278</f>
        <v>186.2</v>
      </c>
      <c r="G279" s="40" t="n">
        <v>2.11</v>
      </c>
      <c r="H279" s="40" t="n">
        <v>1.87</v>
      </c>
      <c r="I279" s="40" t="n">
        <f aca="false">G279+H279</f>
        <v>3.98</v>
      </c>
      <c r="J279" s="40" t="n">
        <f aca="false">G279*F279</f>
        <v>392.882</v>
      </c>
      <c r="K279" s="40" t="n">
        <f aca="false">H279*F279</f>
        <v>348.194</v>
      </c>
      <c r="L279" s="40" t="n">
        <f aca="false">J279+K279</f>
        <v>741.076</v>
      </c>
      <c r="M279" s="40" t="n">
        <f aca="false">ROUND(L279*(1+$M$4),2)</f>
        <v>933.9</v>
      </c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F279" s="41"/>
      <c r="AG279" s="41"/>
      <c r="AH279" s="41"/>
      <c r="AI279" s="41"/>
      <c r="AJ279" s="42"/>
      <c r="AK279" s="42"/>
      <c r="AL279" s="42"/>
      <c r="AM279" s="42"/>
      <c r="AN279" s="42"/>
      <c r="AO279" s="42"/>
      <c r="AP279" s="42"/>
      <c r="AQ279" s="42"/>
      <c r="AR279" s="42"/>
      <c r="AS279" s="42"/>
      <c r="AT279" s="42"/>
      <c r="AU279" s="42"/>
      <c r="AV279" s="42"/>
      <c r="AW279" s="42"/>
      <c r="AX279" s="42"/>
      <c r="AY279" s="42"/>
      <c r="AZ279" s="42"/>
    </row>
    <row r="280" customFormat="false" ht="15" hidden="false" customHeight="false" outlineLevel="0" collapsed="false">
      <c r="A280" s="34" t="s">
        <v>812</v>
      </c>
      <c r="B280" s="35" t="s">
        <v>813</v>
      </c>
      <c r="C280" s="36" t="n">
        <v>87529</v>
      </c>
      <c r="D280" s="37" t="s">
        <v>67</v>
      </c>
      <c r="E280" s="38" t="s">
        <v>84</v>
      </c>
      <c r="F280" s="39" t="n">
        <f aca="false">2*F278</f>
        <v>186.2</v>
      </c>
      <c r="G280" s="40" t="n">
        <v>18.08</v>
      </c>
      <c r="H280" s="40" t="n">
        <v>15</v>
      </c>
      <c r="I280" s="40" t="n">
        <f aca="false">G280+H280</f>
        <v>33.08</v>
      </c>
      <c r="J280" s="40" t="n">
        <f aca="false">G280*F280</f>
        <v>3366.496</v>
      </c>
      <c r="K280" s="40" t="n">
        <f aca="false">H280*F280</f>
        <v>2793</v>
      </c>
      <c r="L280" s="40" t="n">
        <f aca="false">J280+K280</f>
        <v>6159.496</v>
      </c>
      <c r="M280" s="40" t="n">
        <f aca="false">ROUND(L280*(1+$M$4),2)</f>
        <v>7762.2</v>
      </c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F280" s="41"/>
      <c r="AG280" s="41"/>
      <c r="AH280" s="41"/>
      <c r="AI280" s="41"/>
      <c r="AJ280" s="42"/>
      <c r="AK280" s="42"/>
      <c r="AL280" s="42"/>
      <c r="AM280" s="42"/>
      <c r="AN280" s="42"/>
      <c r="AO280" s="42"/>
      <c r="AP280" s="42"/>
      <c r="AQ280" s="42"/>
      <c r="AR280" s="42"/>
      <c r="AS280" s="42"/>
      <c r="AT280" s="42"/>
      <c r="AU280" s="42"/>
      <c r="AV280" s="42"/>
      <c r="AW280" s="42"/>
      <c r="AX280" s="42"/>
      <c r="AY280" s="42"/>
      <c r="AZ280" s="42"/>
    </row>
    <row r="281" customFormat="false" ht="15" hidden="false" customHeight="false" outlineLevel="0" collapsed="false">
      <c r="A281" s="34" t="s">
        <v>814</v>
      </c>
      <c r="B281" s="35" t="s">
        <v>815</v>
      </c>
      <c r="C281" s="36" t="s">
        <v>816</v>
      </c>
      <c r="D281" s="37" t="s">
        <v>817</v>
      </c>
      <c r="E281" s="38" t="s">
        <v>84</v>
      </c>
      <c r="F281" s="39" t="n">
        <v>2.5</v>
      </c>
      <c r="G281" s="40" t="n">
        <v>49.29</v>
      </c>
      <c r="H281" s="40" t="n">
        <v>22.97</v>
      </c>
      <c r="I281" s="40" t="n">
        <f aca="false">G281+H281</f>
        <v>72.26</v>
      </c>
      <c r="J281" s="40" t="n">
        <f aca="false">G281*F281</f>
        <v>123.225</v>
      </c>
      <c r="K281" s="40" t="n">
        <f aca="false">H281*F281</f>
        <v>57.425</v>
      </c>
      <c r="L281" s="40" t="n">
        <f aca="false">J281+K281</f>
        <v>180.65</v>
      </c>
      <c r="M281" s="40" t="n">
        <f aca="false">ROUND(L281*(1+$M$4),2)</f>
        <v>227.66</v>
      </c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F281" s="41"/>
      <c r="AG281" s="41"/>
      <c r="AH281" s="41"/>
      <c r="AI281" s="41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</row>
    <row r="282" customFormat="false" ht="15" hidden="false" customHeight="false" outlineLevel="0" collapsed="false">
      <c r="A282" s="34" t="s">
        <v>818</v>
      </c>
      <c r="B282" s="35" t="s">
        <v>819</v>
      </c>
      <c r="C282" s="36" t="n">
        <v>88485</v>
      </c>
      <c r="D282" s="37" t="s">
        <v>157</v>
      </c>
      <c r="E282" s="38" t="s">
        <v>84</v>
      </c>
      <c r="F282" s="39" t="n">
        <f aca="false">F279</f>
        <v>186.2</v>
      </c>
      <c r="G282" s="40" t="n">
        <v>2.06</v>
      </c>
      <c r="H282" s="40" t="n">
        <v>1.02</v>
      </c>
      <c r="I282" s="40" t="n">
        <f aca="false">G282+H282</f>
        <v>3.08</v>
      </c>
      <c r="J282" s="40" t="n">
        <f aca="false">G282*F282</f>
        <v>383.572</v>
      </c>
      <c r="K282" s="40" t="n">
        <f aca="false">H282*F282</f>
        <v>189.924</v>
      </c>
      <c r="L282" s="40" t="n">
        <f aca="false">J282+K282</f>
        <v>573.496</v>
      </c>
      <c r="M282" s="40" t="n">
        <f aca="false">ROUND(L282*(1+$M$4),2)</f>
        <v>722.72</v>
      </c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F282" s="41"/>
      <c r="AG282" s="41"/>
      <c r="AH282" s="41"/>
      <c r="AI282" s="41"/>
      <c r="AJ282" s="42"/>
      <c r="AK282" s="42"/>
      <c r="AL282" s="42"/>
      <c r="AM282" s="42"/>
      <c r="AN282" s="42"/>
      <c r="AO282" s="42"/>
      <c r="AP282" s="42"/>
      <c r="AQ282" s="42"/>
      <c r="AR282" s="42"/>
      <c r="AS282" s="42"/>
      <c r="AT282" s="42"/>
      <c r="AU282" s="42"/>
      <c r="AV282" s="42"/>
      <c r="AW282" s="42"/>
      <c r="AX282" s="42"/>
      <c r="AY282" s="42"/>
      <c r="AZ282" s="42"/>
    </row>
    <row r="283" customFormat="false" ht="15" hidden="false" customHeight="false" outlineLevel="0" collapsed="false">
      <c r="A283" s="34" t="s">
        <v>820</v>
      </c>
      <c r="B283" s="35" t="s">
        <v>821</v>
      </c>
      <c r="C283" s="36" t="n">
        <v>88489</v>
      </c>
      <c r="D283" s="37" t="s">
        <v>79</v>
      </c>
      <c r="E283" s="38" t="s">
        <v>84</v>
      </c>
      <c r="F283" s="39" t="n">
        <f aca="false">F282</f>
        <v>186.2</v>
      </c>
      <c r="G283" s="40" t="n">
        <v>10.56</v>
      </c>
      <c r="H283" s="40" t="n">
        <v>4.93</v>
      </c>
      <c r="I283" s="40" t="n">
        <f aca="false">G283+H283</f>
        <v>15.49</v>
      </c>
      <c r="J283" s="40" t="n">
        <f aca="false">G283*F283</f>
        <v>1966.272</v>
      </c>
      <c r="K283" s="40" t="n">
        <f aca="false">H283*F283</f>
        <v>917.966</v>
      </c>
      <c r="L283" s="40" t="n">
        <f aca="false">J283+K283</f>
        <v>2884.238</v>
      </c>
      <c r="M283" s="40" t="n">
        <f aca="false">ROUND(L283*(1+$M$4),2)</f>
        <v>3634.72</v>
      </c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F283" s="41"/>
      <c r="AG283" s="41"/>
      <c r="AH283" s="41"/>
      <c r="AI283" s="41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</row>
    <row r="284" customFormat="false" ht="15" hidden="false" customHeight="false" outlineLevel="0" collapsed="false">
      <c r="A284" s="67" t="s">
        <v>822</v>
      </c>
      <c r="B284" s="68" t="s">
        <v>823</v>
      </c>
      <c r="C284" s="68"/>
      <c r="D284" s="83"/>
      <c r="E284" s="83"/>
      <c r="F284" s="84"/>
      <c r="G284" s="85"/>
      <c r="H284" s="85"/>
      <c r="I284" s="85"/>
      <c r="J284" s="48" t="n">
        <f aca="false">SUM(J285:J289)</f>
        <v>6287.952</v>
      </c>
      <c r="K284" s="48" t="n">
        <f aca="false">SUM(K285:K289)</f>
        <v>2795.124</v>
      </c>
      <c r="L284" s="48" t="n">
        <f aca="false">SUM(L285:L289)</f>
        <v>9083.076</v>
      </c>
      <c r="M284" s="48" t="n">
        <f aca="false">SUM(M285:M289)</f>
        <v>11446.5</v>
      </c>
      <c r="N284" s="82" t="n">
        <f aca="false">M284</f>
        <v>11446.5</v>
      </c>
      <c r="O284" s="66"/>
      <c r="P284" s="66"/>
      <c r="Q284" s="66"/>
      <c r="R284" s="66"/>
      <c r="S284" s="66"/>
      <c r="T284" s="66"/>
      <c r="U284" s="66"/>
      <c r="V284" s="66"/>
      <c r="W284" s="66"/>
      <c r="X284" s="66"/>
      <c r="Y284" s="66"/>
      <c r="Z284" s="66"/>
      <c r="AA284" s="66"/>
      <c r="AB284" s="66"/>
      <c r="AC284" s="66"/>
      <c r="AD284" s="66"/>
      <c r="AE284" s="66"/>
      <c r="AF284" s="66"/>
      <c r="AG284" s="66"/>
      <c r="AH284" s="66"/>
      <c r="AI284" s="66"/>
      <c r="AJ284" s="66"/>
      <c r="AK284" s="66"/>
      <c r="AL284" s="66"/>
      <c r="AM284" s="66"/>
      <c r="AN284" s="66"/>
      <c r="AO284" s="66"/>
      <c r="AP284" s="66"/>
      <c r="AQ284" s="66"/>
      <c r="AR284" s="66"/>
      <c r="AS284" s="66"/>
      <c r="AT284" s="66"/>
      <c r="AU284" s="66"/>
      <c r="AV284" s="66"/>
      <c r="AW284" s="66"/>
      <c r="AX284" s="66"/>
      <c r="AY284" s="66"/>
      <c r="AZ284" s="66"/>
    </row>
    <row r="285" customFormat="false" ht="15" hidden="false" customHeight="false" outlineLevel="0" collapsed="false">
      <c r="A285" s="34" t="s">
        <v>824</v>
      </c>
      <c r="B285" s="35" t="s">
        <v>825</v>
      </c>
      <c r="C285" s="36" t="s">
        <v>826</v>
      </c>
      <c r="D285" s="37" t="s">
        <v>827</v>
      </c>
      <c r="E285" s="38" t="s">
        <v>84</v>
      </c>
      <c r="F285" s="39" t="n">
        <v>60</v>
      </c>
      <c r="G285" s="40" t="n">
        <v>62.83</v>
      </c>
      <c r="H285" s="40" t="n">
        <v>15.67</v>
      </c>
      <c r="I285" s="40" t="n">
        <f aca="false">G285+H285</f>
        <v>78.5</v>
      </c>
      <c r="J285" s="40" t="n">
        <f aca="false">G285*F285</f>
        <v>3769.8</v>
      </c>
      <c r="K285" s="40" t="n">
        <f aca="false">H285*F285</f>
        <v>940.2</v>
      </c>
      <c r="L285" s="40" t="n">
        <f aca="false">J285+K285</f>
        <v>4710</v>
      </c>
      <c r="M285" s="40" t="n">
        <f aca="false">ROUND(L285*(1+$M$4),2)</f>
        <v>5935.54</v>
      </c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F285" s="41"/>
      <c r="AG285" s="41"/>
      <c r="AH285" s="41"/>
      <c r="AI285" s="41"/>
      <c r="AJ285" s="42"/>
      <c r="AK285" s="42"/>
      <c r="AL285" s="42"/>
      <c r="AM285" s="42"/>
      <c r="AN285" s="42"/>
      <c r="AO285" s="42"/>
      <c r="AP285" s="42"/>
      <c r="AQ285" s="42"/>
      <c r="AR285" s="42"/>
      <c r="AS285" s="42"/>
      <c r="AT285" s="42"/>
      <c r="AU285" s="42"/>
      <c r="AV285" s="42"/>
      <c r="AW285" s="42"/>
      <c r="AX285" s="42"/>
      <c r="AY285" s="42"/>
      <c r="AZ285" s="42"/>
    </row>
    <row r="286" customFormat="false" ht="15" hidden="false" customHeight="false" outlineLevel="0" collapsed="false">
      <c r="A286" s="34" t="s">
        <v>828</v>
      </c>
      <c r="B286" s="35" t="s">
        <v>829</v>
      </c>
      <c r="C286" s="36" t="s">
        <v>313</v>
      </c>
      <c r="D286" s="37" t="s">
        <v>314</v>
      </c>
      <c r="E286" s="38" t="s">
        <v>84</v>
      </c>
      <c r="F286" s="39" t="n">
        <f aca="false">F285</f>
        <v>60</v>
      </c>
      <c r="G286" s="40" t="n">
        <v>10.31</v>
      </c>
      <c r="H286" s="40" t="n">
        <v>13.31</v>
      </c>
      <c r="I286" s="40" t="n">
        <f aca="false">G286+H286</f>
        <v>23.62</v>
      </c>
      <c r="J286" s="40" t="n">
        <f aca="false">G286*F286</f>
        <v>618.6</v>
      </c>
      <c r="K286" s="40" t="n">
        <f aca="false">H286*F286</f>
        <v>798.6</v>
      </c>
      <c r="L286" s="40" t="n">
        <f aca="false">J286+K286</f>
        <v>1417.2</v>
      </c>
      <c r="M286" s="40" t="n">
        <f aca="false">ROUND(L286*(1+$M$4),2)</f>
        <v>1785.96</v>
      </c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F286" s="41"/>
      <c r="AG286" s="41"/>
      <c r="AH286" s="41"/>
      <c r="AI286" s="41"/>
      <c r="AJ286" s="42"/>
      <c r="AK286" s="42"/>
      <c r="AL286" s="42"/>
      <c r="AM286" s="42"/>
      <c r="AN286" s="42"/>
      <c r="AO286" s="42"/>
      <c r="AP286" s="42"/>
      <c r="AQ286" s="42"/>
      <c r="AR286" s="42"/>
      <c r="AS286" s="42"/>
      <c r="AT286" s="42"/>
      <c r="AU286" s="42"/>
      <c r="AV286" s="42"/>
      <c r="AW286" s="42"/>
      <c r="AX286" s="42"/>
      <c r="AY286" s="42"/>
      <c r="AZ286" s="42"/>
    </row>
    <row r="287" customFormat="false" ht="15" hidden="false" customHeight="false" outlineLevel="0" collapsed="false">
      <c r="A287" s="34" t="s">
        <v>830</v>
      </c>
      <c r="B287" s="35" t="s">
        <v>831</v>
      </c>
      <c r="C287" s="36" t="s">
        <v>321</v>
      </c>
      <c r="D287" s="37" t="s">
        <v>322</v>
      </c>
      <c r="E287" s="38" t="s">
        <v>84</v>
      </c>
      <c r="F287" s="39" t="n">
        <v>60</v>
      </c>
      <c r="G287" s="40" t="n">
        <v>10.31</v>
      </c>
      <c r="H287" s="40" t="n">
        <v>13.31</v>
      </c>
      <c r="I287" s="40" t="n">
        <f aca="false">G287+H287</f>
        <v>23.62</v>
      </c>
      <c r="J287" s="40" t="n">
        <f aca="false">G287*F287</f>
        <v>618.6</v>
      </c>
      <c r="K287" s="40" t="n">
        <f aca="false">H287*F287</f>
        <v>798.6</v>
      </c>
      <c r="L287" s="40" t="n">
        <f aca="false">J287+K287</f>
        <v>1417.2</v>
      </c>
      <c r="M287" s="40" t="n">
        <f aca="false">ROUND(L287*(1+$M$4),2)</f>
        <v>1785.96</v>
      </c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F287" s="41"/>
      <c r="AG287" s="41"/>
      <c r="AH287" s="41"/>
      <c r="AI287" s="41"/>
      <c r="AJ287" s="42"/>
      <c r="AK287" s="42"/>
      <c r="AL287" s="42"/>
      <c r="AM287" s="42"/>
      <c r="AN287" s="42"/>
      <c r="AO287" s="42"/>
      <c r="AP287" s="42"/>
      <c r="AQ287" s="42"/>
      <c r="AR287" s="42"/>
      <c r="AS287" s="42"/>
      <c r="AT287" s="42"/>
      <c r="AU287" s="42"/>
      <c r="AV287" s="42"/>
      <c r="AW287" s="42"/>
      <c r="AX287" s="42"/>
      <c r="AY287" s="42"/>
      <c r="AZ287" s="42"/>
    </row>
    <row r="288" customFormat="false" ht="15" hidden="false" customHeight="false" outlineLevel="0" collapsed="false">
      <c r="A288" s="34" t="s">
        <v>832</v>
      </c>
      <c r="B288" s="35" t="s">
        <v>833</v>
      </c>
      <c r="C288" s="36" t="s">
        <v>217</v>
      </c>
      <c r="D288" s="37" t="s">
        <v>218</v>
      </c>
      <c r="E288" s="38" t="s">
        <v>84</v>
      </c>
      <c r="F288" s="39" t="n">
        <v>15.6</v>
      </c>
      <c r="G288" s="40" t="n">
        <v>63.92</v>
      </c>
      <c r="H288" s="40" t="n">
        <v>11.04</v>
      </c>
      <c r="I288" s="40" t="n">
        <f aca="false">G288+H288</f>
        <v>74.96</v>
      </c>
      <c r="J288" s="40" t="n">
        <f aca="false">G288*F288</f>
        <v>997.152</v>
      </c>
      <c r="K288" s="40" t="n">
        <f aca="false">H288*F288</f>
        <v>172.224</v>
      </c>
      <c r="L288" s="40" t="n">
        <f aca="false">J288+K288</f>
        <v>1169.376</v>
      </c>
      <c r="M288" s="40" t="n">
        <f aca="false">ROUND(L288*(1+$M$4),2)</f>
        <v>1473.65</v>
      </c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F288" s="41"/>
      <c r="AG288" s="41"/>
      <c r="AH288" s="41"/>
      <c r="AI288" s="41"/>
      <c r="AJ288" s="42"/>
      <c r="AK288" s="42"/>
      <c r="AL288" s="42"/>
      <c r="AM288" s="42"/>
      <c r="AN288" s="42"/>
      <c r="AO288" s="42"/>
      <c r="AP288" s="42"/>
      <c r="AQ288" s="42"/>
      <c r="AR288" s="42"/>
      <c r="AS288" s="42"/>
      <c r="AT288" s="42"/>
      <c r="AU288" s="42"/>
      <c r="AV288" s="42"/>
      <c r="AW288" s="42"/>
      <c r="AX288" s="42"/>
      <c r="AY288" s="42"/>
      <c r="AZ288" s="42"/>
    </row>
    <row r="289" customFormat="false" ht="15" hidden="false" customHeight="false" outlineLevel="0" collapsed="false">
      <c r="A289" s="34" t="s">
        <v>834</v>
      </c>
      <c r="B289" s="35" t="s">
        <v>835</v>
      </c>
      <c r="C289" s="36" t="s">
        <v>221</v>
      </c>
      <c r="D289" s="37" t="s">
        <v>222</v>
      </c>
      <c r="E289" s="38" t="s">
        <v>132</v>
      </c>
      <c r="F289" s="39" t="n">
        <v>30</v>
      </c>
      <c r="G289" s="40" t="n">
        <v>9.46</v>
      </c>
      <c r="H289" s="40" t="n">
        <v>2.85</v>
      </c>
      <c r="I289" s="40" t="n">
        <f aca="false">G289+H289</f>
        <v>12.31</v>
      </c>
      <c r="J289" s="40" t="n">
        <f aca="false">G289*F289</f>
        <v>283.8</v>
      </c>
      <c r="K289" s="40" t="n">
        <f aca="false">H289*F289</f>
        <v>85.5</v>
      </c>
      <c r="L289" s="40" t="n">
        <f aca="false">J289+K289</f>
        <v>369.3</v>
      </c>
      <c r="M289" s="40" t="n">
        <f aca="false">ROUND(L289*(1+$M$4),2)</f>
        <v>465.39</v>
      </c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F289" s="41"/>
      <c r="AG289" s="41"/>
      <c r="AH289" s="41"/>
      <c r="AI289" s="41"/>
      <c r="AJ289" s="42"/>
      <c r="AK289" s="42"/>
      <c r="AL289" s="42"/>
      <c r="AM289" s="42"/>
      <c r="AN289" s="42"/>
      <c r="AO289" s="42"/>
      <c r="AP289" s="42"/>
      <c r="AQ289" s="42"/>
      <c r="AR289" s="42"/>
      <c r="AS289" s="42"/>
      <c r="AT289" s="42"/>
      <c r="AU289" s="42"/>
      <c r="AV289" s="42"/>
      <c r="AW289" s="42"/>
      <c r="AX289" s="42"/>
      <c r="AY289" s="42"/>
      <c r="AZ289" s="42"/>
    </row>
    <row r="290" customFormat="false" ht="15" hidden="false" customHeight="false" outlineLevel="0" collapsed="false">
      <c r="A290" s="67" t="s">
        <v>836</v>
      </c>
      <c r="B290" s="68" t="s">
        <v>837</v>
      </c>
      <c r="C290" s="68"/>
      <c r="D290" s="83"/>
      <c r="E290" s="83"/>
      <c r="F290" s="84"/>
      <c r="G290" s="85"/>
      <c r="H290" s="85"/>
      <c r="I290" s="85"/>
      <c r="J290" s="48" t="n">
        <f aca="false">SUM(J291:J293)</f>
        <v>8812.899</v>
      </c>
      <c r="K290" s="48" t="n">
        <f aca="false">SUM(K291:K293)</f>
        <v>462.447</v>
      </c>
      <c r="L290" s="48" t="n">
        <f aca="false">SUM(L291:L293)</f>
        <v>9275.346</v>
      </c>
      <c r="M290" s="48" t="n">
        <f aca="false">SUM(M291:M293)</f>
        <v>11688.79</v>
      </c>
      <c r="N290" s="82" t="n">
        <f aca="false">M290</f>
        <v>11688.79</v>
      </c>
      <c r="O290" s="66"/>
      <c r="P290" s="66"/>
      <c r="Q290" s="66"/>
      <c r="R290" s="66"/>
      <c r="S290" s="66"/>
      <c r="T290" s="66"/>
      <c r="U290" s="66"/>
      <c r="V290" s="66"/>
      <c r="W290" s="66"/>
      <c r="X290" s="66"/>
      <c r="Y290" s="66"/>
      <c r="Z290" s="66"/>
      <c r="AA290" s="66"/>
      <c r="AB290" s="66"/>
      <c r="AC290" s="66"/>
      <c r="AD290" s="66"/>
      <c r="AE290" s="66"/>
      <c r="AF290" s="66"/>
      <c r="AG290" s="66"/>
      <c r="AH290" s="66"/>
      <c r="AI290" s="66"/>
      <c r="AJ290" s="66"/>
      <c r="AK290" s="66"/>
      <c r="AL290" s="66"/>
      <c r="AM290" s="66"/>
      <c r="AN290" s="66"/>
      <c r="AO290" s="66"/>
      <c r="AP290" s="66"/>
      <c r="AQ290" s="66"/>
      <c r="AR290" s="66"/>
      <c r="AS290" s="66"/>
      <c r="AT290" s="66"/>
      <c r="AU290" s="66"/>
      <c r="AV290" s="66"/>
      <c r="AW290" s="66"/>
      <c r="AX290" s="66"/>
      <c r="AY290" s="66"/>
      <c r="AZ290" s="66"/>
    </row>
    <row r="291" customFormat="false" ht="15" hidden="false" customHeight="false" outlineLevel="0" collapsed="false">
      <c r="A291" s="34" t="s">
        <v>838</v>
      </c>
      <c r="B291" s="35" t="s">
        <v>839</v>
      </c>
      <c r="C291" s="36" t="s">
        <v>225</v>
      </c>
      <c r="D291" s="37" t="s">
        <v>226</v>
      </c>
      <c r="E291" s="38" t="s">
        <v>84</v>
      </c>
      <c r="F291" s="39" t="n">
        <f aca="false">(1.5*1.2)+(2*3*1.2)</f>
        <v>9</v>
      </c>
      <c r="G291" s="40" t="n">
        <v>371.2</v>
      </c>
      <c r="H291" s="40" t="n">
        <v>27.29</v>
      </c>
      <c r="I291" s="40" t="n">
        <f aca="false">G291+H291</f>
        <v>398.49</v>
      </c>
      <c r="J291" s="40" t="n">
        <f aca="false">G291*F291</f>
        <v>3340.8</v>
      </c>
      <c r="K291" s="40" t="n">
        <f aca="false">H291*F291</f>
        <v>245.61</v>
      </c>
      <c r="L291" s="40" t="n">
        <f aca="false">J291+K291</f>
        <v>3586.41</v>
      </c>
      <c r="M291" s="40" t="n">
        <f aca="false">ROUND(L291*(1+$M$4),2)</f>
        <v>4519.59</v>
      </c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F291" s="41"/>
      <c r="AG291" s="41"/>
      <c r="AH291" s="41"/>
      <c r="AI291" s="41"/>
      <c r="AJ291" s="42"/>
      <c r="AK291" s="42"/>
      <c r="AL291" s="42"/>
      <c r="AM291" s="42"/>
      <c r="AN291" s="42"/>
      <c r="AO291" s="42"/>
      <c r="AP291" s="42"/>
      <c r="AQ291" s="42"/>
      <c r="AR291" s="42"/>
      <c r="AS291" s="42"/>
      <c r="AT291" s="42"/>
      <c r="AU291" s="42"/>
      <c r="AV291" s="42"/>
      <c r="AW291" s="42"/>
      <c r="AX291" s="42"/>
      <c r="AY291" s="42"/>
      <c r="AZ291" s="42"/>
    </row>
    <row r="292" customFormat="false" ht="15" hidden="false" customHeight="false" outlineLevel="0" collapsed="false">
      <c r="A292" s="34" t="s">
        <v>840</v>
      </c>
      <c r="B292" s="35" t="s">
        <v>841</v>
      </c>
      <c r="C292" s="36" t="s">
        <v>842</v>
      </c>
      <c r="D292" s="37" t="s">
        <v>843</v>
      </c>
      <c r="E292" s="38" t="s">
        <v>396</v>
      </c>
      <c r="F292" s="39" t="n">
        <f aca="false">1.5+6</f>
        <v>7.5</v>
      </c>
      <c r="G292" s="40" t="n">
        <v>150.66</v>
      </c>
      <c r="H292" s="40" t="n">
        <v>22.2</v>
      </c>
      <c r="I292" s="40" t="n">
        <f aca="false">G292+H292</f>
        <v>172.86</v>
      </c>
      <c r="J292" s="40" t="n">
        <f aca="false">G292*F292</f>
        <v>1129.95</v>
      </c>
      <c r="K292" s="40" t="n">
        <f aca="false">H292*F292</f>
        <v>166.5</v>
      </c>
      <c r="L292" s="40" t="n">
        <f aca="false">J292+K292</f>
        <v>1296.45</v>
      </c>
      <c r="M292" s="40" t="n">
        <f aca="false">ROUND(L292*(1+$M$4),2)</f>
        <v>1633.79</v>
      </c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F292" s="41"/>
      <c r="AG292" s="41"/>
      <c r="AH292" s="41"/>
      <c r="AI292" s="41"/>
      <c r="AJ292" s="42"/>
      <c r="AK292" s="42"/>
      <c r="AL292" s="42"/>
      <c r="AM292" s="42"/>
      <c r="AN292" s="42"/>
      <c r="AO292" s="42"/>
      <c r="AP292" s="42"/>
      <c r="AQ292" s="42"/>
      <c r="AR292" s="42"/>
      <c r="AS292" s="42"/>
      <c r="AT292" s="42"/>
      <c r="AU292" s="42"/>
      <c r="AV292" s="42"/>
      <c r="AW292" s="42"/>
      <c r="AX292" s="42"/>
      <c r="AY292" s="42"/>
      <c r="AZ292" s="42"/>
    </row>
    <row r="293" customFormat="false" ht="15" hidden="false" customHeight="false" outlineLevel="0" collapsed="false">
      <c r="A293" s="34" t="s">
        <v>844</v>
      </c>
      <c r="B293" s="35" t="s">
        <v>845</v>
      </c>
      <c r="C293" s="36" t="s">
        <v>152</v>
      </c>
      <c r="D293" s="37" t="s">
        <v>153</v>
      </c>
      <c r="E293" s="38" t="s">
        <v>84</v>
      </c>
      <c r="F293" s="39" t="n">
        <f aca="false">3*2.1</f>
        <v>6.3</v>
      </c>
      <c r="G293" s="40" t="n">
        <v>689.23</v>
      </c>
      <c r="H293" s="40" t="n">
        <v>7.99</v>
      </c>
      <c r="I293" s="40" t="n">
        <f aca="false">G293+H293</f>
        <v>697.22</v>
      </c>
      <c r="J293" s="40" t="n">
        <f aca="false">G293*F293</f>
        <v>4342.149</v>
      </c>
      <c r="K293" s="40" t="n">
        <f aca="false">H293*F293</f>
        <v>50.337</v>
      </c>
      <c r="L293" s="40" t="n">
        <f aca="false">J293+K293</f>
        <v>4392.486</v>
      </c>
      <c r="M293" s="40" t="n">
        <f aca="false">ROUND(L293*(1+$M$4),2)</f>
        <v>5535.41</v>
      </c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F293" s="41"/>
      <c r="AG293" s="41"/>
      <c r="AH293" s="41"/>
      <c r="AI293" s="41"/>
      <c r="AJ293" s="42"/>
      <c r="AK293" s="42"/>
      <c r="AL293" s="42"/>
      <c r="AM293" s="42"/>
      <c r="AN293" s="42"/>
      <c r="AO293" s="42"/>
      <c r="AP293" s="42"/>
      <c r="AQ293" s="42"/>
      <c r="AR293" s="42"/>
      <c r="AS293" s="42"/>
      <c r="AT293" s="42"/>
      <c r="AU293" s="42"/>
      <c r="AV293" s="42"/>
      <c r="AW293" s="42"/>
      <c r="AX293" s="42"/>
      <c r="AY293" s="42"/>
      <c r="AZ293" s="42"/>
    </row>
    <row r="294" customFormat="false" ht="15" hidden="false" customHeight="false" outlineLevel="0" collapsed="false">
      <c r="A294" s="67" t="s">
        <v>846</v>
      </c>
      <c r="B294" s="68" t="s">
        <v>847</v>
      </c>
      <c r="C294" s="68"/>
      <c r="D294" s="83"/>
      <c r="E294" s="83"/>
      <c r="F294" s="84"/>
      <c r="G294" s="85"/>
      <c r="H294" s="85"/>
      <c r="I294" s="85"/>
      <c r="J294" s="48" t="n">
        <f aca="false">SUM(J295:J303)</f>
        <v>4308.87858538889</v>
      </c>
      <c r="K294" s="48" t="n">
        <f aca="false">SUM(K295:K303)</f>
        <v>818.325777</v>
      </c>
      <c r="L294" s="48" t="n">
        <f aca="false">SUM(L295:L303)</f>
        <v>5127.20436238889</v>
      </c>
      <c r="M294" s="48" t="n">
        <f aca="false">SUM(M295:M305)</f>
        <v>7708.61</v>
      </c>
      <c r="N294" s="82" t="n">
        <f aca="false">M294</f>
        <v>7708.61</v>
      </c>
      <c r="O294" s="66"/>
      <c r="P294" s="66"/>
      <c r="Q294" s="66"/>
      <c r="R294" s="66"/>
      <c r="S294" s="66"/>
      <c r="T294" s="66"/>
      <c r="U294" s="66"/>
      <c r="V294" s="66"/>
      <c r="W294" s="66"/>
      <c r="X294" s="66"/>
      <c r="Y294" s="66"/>
      <c r="Z294" s="66"/>
      <c r="AA294" s="66"/>
      <c r="AB294" s="66"/>
      <c r="AC294" s="66"/>
      <c r="AD294" s="66"/>
      <c r="AE294" s="66"/>
      <c r="AF294" s="66"/>
      <c r="AG294" s="66"/>
      <c r="AH294" s="66"/>
      <c r="AI294" s="66"/>
      <c r="AJ294" s="66"/>
      <c r="AK294" s="66"/>
      <c r="AL294" s="66"/>
      <c r="AM294" s="66"/>
      <c r="AN294" s="66"/>
      <c r="AO294" s="66"/>
      <c r="AP294" s="66"/>
      <c r="AQ294" s="66"/>
      <c r="AR294" s="66"/>
      <c r="AS294" s="66"/>
      <c r="AT294" s="66"/>
      <c r="AU294" s="66"/>
      <c r="AV294" s="66"/>
      <c r="AW294" s="66"/>
      <c r="AX294" s="66"/>
      <c r="AY294" s="66"/>
      <c r="AZ294" s="66"/>
    </row>
    <row r="295" customFormat="false" ht="15" hidden="false" customHeight="false" outlineLevel="0" collapsed="false">
      <c r="A295" s="34" t="s">
        <v>848</v>
      </c>
      <c r="B295" s="35" t="s">
        <v>849</v>
      </c>
      <c r="C295" s="36" t="s">
        <v>282</v>
      </c>
      <c r="D295" s="37" t="s">
        <v>283</v>
      </c>
      <c r="E295" s="38" t="s">
        <v>37</v>
      </c>
      <c r="F295" s="39" t="n">
        <f aca="false">0.46*5</f>
        <v>2.3</v>
      </c>
      <c r="G295" s="40" t="n">
        <v>55.37</v>
      </c>
      <c r="H295" s="40" t="n">
        <v>64.35</v>
      </c>
      <c r="I295" s="40" t="n">
        <f aca="false">SUM(G295:H295)</f>
        <v>119.72</v>
      </c>
      <c r="J295" s="40" t="n">
        <f aca="false">G295*F295</f>
        <v>127.351</v>
      </c>
      <c r="K295" s="40" t="n">
        <f aca="false">H295*F295</f>
        <v>148.005</v>
      </c>
      <c r="L295" s="40" t="n">
        <f aca="false">SUM(J295:K295)</f>
        <v>275.356</v>
      </c>
      <c r="M295" s="40" t="n">
        <f aca="false">ROUND(L295*(1+$M$4),2)</f>
        <v>347</v>
      </c>
      <c r="N295" s="41" t="n">
        <v>0</v>
      </c>
      <c r="O295" s="41" t="s">
        <v>284</v>
      </c>
      <c r="P295" s="41" t="n">
        <v>0</v>
      </c>
      <c r="Q295" s="41"/>
      <c r="R295" s="41" t="n">
        <v>0</v>
      </c>
      <c r="S295" s="41" t="s">
        <v>284</v>
      </c>
      <c r="T295" s="41" t="n">
        <v>0</v>
      </c>
      <c r="U295" s="41"/>
      <c r="V295" s="41" t="n">
        <v>0.5</v>
      </c>
      <c r="W295" s="41" t="s">
        <v>285</v>
      </c>
      <c r="X295" s="41" t="n">
        <v>0.5</v>
      </c>
      <c r="Y295" s="41"/>
      <c r="Z295" s="41"/>
      <c r="AA295" s="41" t="s">
        <v>284</v>
      </c>
      <c r="AB295" s="41" t="n">
        <v>0</v>
      </c>
      <c r="AC295" s="41"/>
      <c r="AD295" s="41"/>
      <c r="AE295" s="41" t="s">
        <v>284</v>
      </c>
      <c r="AF295" s="41" t="n">
        <v>0</v>
      </c>
      <c r="AG295" s="41"/>
      <c r="AH295" s="41"/>
      <c r="AI295" s="41" t="s">
        <v>284</v>
      </c>
      <c r="AJ295" s="42" t="n">
        <v>0</v>
      </c>
      <c r="AK295" s="42"/>
      <c r="AL295" s="42"/>
      <c r="AM295" s="42" t="s">
        <v>284</v>
      </c>
      <c r="AN295" s="42" t="n">
        <v>0</v>
      </c>
      <c r="AO295" s="42"/>
      <c r="AP295" s="42" t="n">
        <v>0.5</v>
      </c>
      <c r="AQ295" s="42" t="s">
        <v>285</v>
      </c>
      <c r="AR295" s="42" t="n">
        <v>0.5</v>
      </c>
      <c r="AS295" s="42"/>
      <c r="AT295" s="42" t="s">
        <v>286</v>
      </c>
      <c r="AU295" s="42" t="n">
        <v>1</v>
      </c>
      <c r="AV295" s="42"/>
      <c r="AW295" s="42"/>
      <c r="AX295" s="42" t="n">
        <v>1</v>
      </c>
      <c r="AY295" s="42" t="n">
        <v>0</v>
      </c>
      <c r="AZ295" s="42" t="s">
        <v>284</v>
      </c>
    </row>
    <row r="296" customFormat="false" ht="15" hidden="false" customHeight="false" outlineLevel="0" collapsed="false">
      <c r="A296" s="34" t="s">
        <v>850</v>
      </c>
      <c r="B296" s="35" t="s">
        <v>851</v>
      </c>
      <c r="C296" s="36" t="s">
        <v>58</v>
      </c>
      <c r="D296" s="37" t="s">
        <v>59</v>
      </c>
      <c r="E296" s="38" t="s">
        <v>37</v>
      </c>
      <c r="F296" s="39" t="n">
        <v>2.85</v>
      </c>
      <c r="G296" s="40" t="n">
        <v>75.42</v>
      </c>
      <c r="H296" s="40" t="n">
        <v>67.29</v>
      </c>
      <c r="I296" s="40" t="n">
        <f aca="false">SUM(G296:H296)</f>
        <v>142.71</v>
      </c>
      <c r="J296" s="40" t="n">
        <f aca="false">G296*F296</f>
        <v>214.947</v>
      </c>
      <c r="K296" s="40" t="n">
        <f aca="false">H296*F296</f>
        <v>191.7765</v>
      </c>
      <c r="L296" s="40" t="n">
        <f aca="false">SUM(J296:K296)</f>
        <v>406.7235</v>
      </c>
      <c r="M296" s="40" t="n">
        <f aca="false">ROUND(L296*(1+$M$4),2)</f>
        <v>512.55</v>
      </c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F296" s="41"/>
      <c r="AG296" s="41"/>
      <c r="AH296" s="41"/>
      <c r="AI296" s="41"/>
      <c r="AJ296" s="42"/>
      <c r="AK296" s="42"/>
      <c r="AL296" s="42"/>
      <c r="AM296" s="42"/>
      <c r="AN296" s="42"/>
      <c r="AO296" s="42"/>
      <c r="AP296" s="42"/>
      <c r="AQ296" s="42"/>
      <c r="AR296" s="42"/>
      <c r="AS296" s="42"/>
      <c r="AT296" s="42"/>
      <c r="AU296" s="42"/>
      <c r="AV296" s="42"/>
      <c r="AW296" s="42"/>
      <c r="AX296" s="42"/>
      <c r="AY296" s="42"/>
      <c r="AZ296" s="42"/>
    </row>
    <row r="297" customFormat="false" ht="15" hidden="false" customHeight="false" outlineLevel="0" collapsed="false">
      <c r="A297" s="34" t="s">
        <v>852</v>
      </c>
      <c r="B297" s="35" t="s">
        <v>853</v>
      </c>
      <c r="C297" s="36" t="n">
        <v>87878</v>
      </c>
      <c r="D297" s="37" t="s">
        <v>854</v>
      </c>
      <c r="E297" s="38" t="s">
        <v>37</v>
      </c>
      <c r="F297" s="39" t="n">
        <f aca="false">(1.05*5)+5.9</f>
        <v>11.15</v>
      </c>
      <c r="G297" s="40" t="n">
        <v>2.11</v>
      </c>
      <c r="H297" s="40" t="n">
        <v>1.87</v>
      </c>
      <c r="I297" s="40" t="n">
        <f aca="false">SUM(G297:H297)</f>
        <v>3.98</v>
      </c>
      <c r="J297" s="40" t="n">
        <f aca="false">G297*F297</f>
        <v>23.5265</v>
      </c>
      <c r="K297" s="40" t="n">
        <f aca="false">H297*F297</f>
        <v>20.8505</v>
      </c>
      <c r="L297" s="40" t="n">
        <f aca="false">SUM(J297:K297)</f>
        <v>44.377</v>
      </c>
      <c r="M297" s="40" t="n">
        <f aca="false">ROUND(L297*(1+$M$4),2)</f>
        <v>55.92</v>
      </c>
      <c r="N297" s="41" t="n">
        <v>0</v>
      </c>
      <c r="O297" s="41" t="s">
        <v>284</v>
      </c>
      <c r="P297" s="41" t="n">
        <v>0</v>
      </c>
      <c r="Q297" s="41"/>
      <c r="R297" s="41" t="n">
        <v>0</v>
      </c>
      <c r="S297" s="41" t="s">
        <v>284</v>
      </c>
      <c r="T297" s="41" t="n">
        <v>0</v>
      </c>
      <c r="U297" s="41"/>
      <c r="V297" s="41"/>
      <c r="W297" s="41" t="s">
        <v>284</v>
      </c>
      <c r="X297" s="41" t="n">
        <v>0</v>
      </c>
      <c r="Y297" s="41"/>
      <c r="Z297" s="41"/>
      <c r="AA297" s="41" t="s">
        <v>284</v>
      </c>
      <c r="AB297" s="41" t="n">
        <v>0</v>
      </c>
      <c r="AC297" s="41"/>
      <c r="AD297" s="41"/>
      <c r="AE297" s="41" t="s">
        <v>284</v>
      </c>
      <c r="AF297" s="41" t="n">
        <v>0</v>
      </c>
      <c r="AG297" s="41"/>
      <c r="AH297" s="41"/>
      <c r="AI297" s="41" t="s">
        <v>284</v>
      </c>
      <c r="AJ297" s="42" t="n">
        <v>0</v>
      </c>
      <c r="AK297" s="42"/>
      <c r="AL297" s="42"/>
      <c r="AM297" s="42" t="s">
        <v>284</v>
      </c>
      <c r="AN297" s="42" t="n">
        <v>0</v>
      </c>
      <c r="AO297" s="42"/>
      <c r="AP297" s="42" t="n">
        <v>4</v>
      </c>
      <c r="AQ297" s="42" t="s">
        <v>855</v>
      </c>
      <c r="AR297" s="42" t="n">
        <v>1</v>
      </c>
      <c r="AS297" s="42"/>
      <c r="AT297" s="42" t="s">
        <v>855</v>
      </c>
      <c r="AU297" s="42" t="n">
        <v>1</v>
      </c>
      <c r="AV297" s="42"/>
      <c r="AW297" s="42"/>
      <c r="AX297" s="42" t="n">
        <v>4</v>
      </c>
      <c r="AY297" s="42" t="n">
        <v>0</v>
      </c>
      <c r="AZ297" s="42" t="s">
        <v>284</v>
      </c>
    </row>
    <row r="298" customFormat="false" ht="15" hidden="false" customHeight="false" outlineLevel="0" collapsed="false">
      <c r="A298" s="34" t="s">
        <v>856</v>
      </c>
      <c r="B298" s="35" t="s">
        <v>853</v>
      </c>
      <c r="C298" s="36" t="s">
        <v>857</v>
      </c>
      <c r="D298" s="37" t="s">
        <v>858</v>
      </c>
      <c r="E298" s="38" t="s">
        <v>37</v>
      </c>
      <c r="F298" s="39" t="n">
        <f aca="false">F297</f>
        <v>11.15</v>
      </c>
      <c r="G298" s="40" t="n">
        <v>17.71</v>
      </c>
      <c r="H298" s="40" t="n">
        <v>13.98</v>
      </c>
      <c r="I298" s="40" t="n">
        <f aca="false">SUM(G298:H298)</f>
        <v>31.69</v>
      </c>
      <c r="J298" s="40" t="n">
        <f aca="false">G298*F298</f>
        <v>197.4665</v>
      </c>
      <c r="K298" s="40" t="n">
        <f aca="false">H298*F298</f>
        <v>155.877</v>
      </c>
      <c r="L298" s="40" t="n">
        <f aca="false">SUM(J298:K298)</f>
        <v>353.3435</v>
      </c>
      <c r="M298" s="40" t="n">
        <f aca="false">ROUND(L298*(1+$M$4),2)</f>
        <v>445.28</v>
      </c>
      <c r="N298" s="41" t="n">
        <v>0</v>
      </c>
      <c r="O298" s="41" t="s">
        <v>284</v>
      </c>
      <c r="P298" s="41" t="n">
        <v>0</v>
      </c>
      <c r="Q298" s="41"/>
      <c r="R298" s="41" t="n">
        <v>0</v>
      </c>
      <c r="S298" s="41" t="s">
        <v>284</v>
      </c>
      <c r="T298" s="41" t="n">
        <v>0</v>
      </c>
      <c r="U298" s="41"/>
      <c r="V298" s="41"/>
      <c r="W298" s="41" t="s">
        <v>284</v>
      </c>
      <c r="X298" s="41" t="n">
        <v>0</v>
      </c>
      <c r="Y298" s="41"/>
      <c r="Z298" s="41"/>
      <c r="AA298" s="41" t="s">
        <v>284</v>
      </c>
      <c r="AB298" s="41" t="n">
        <v>0</v>
      </c>
      <c r="AC298" s="41"/>
      <c r="AD298" s="41"/>
      <c r="AE298" s="41" t="s">
        <v>284</v>
      </c>
      <c r="AF298" s="41" t="n">
        <v>0</v>
      </c>
      <c r="AG298" s="41"/>
      <c r="AH298" s="41"/>
      <c r="AI298" s="41" t="s">
        <v>284</v>
      </c>
      <c r="AJ298" s="42" t="n">
        <v>0</v>
      </c>
      <c r="AK298" s="42"/>
      <c r="AL298" s="42"/>
      <c r="AM298" s="42" t="s">
        <v>284</v>
      </c>
      <c r="AN298" s="42" t="n">
        <v>0</v>
      </c>
      <c r="AO298" s="42"/>
      <c r="AP298" s="42" t="n">
        <v>3</v>
      </c>
      <c r="AQ298" s="42" t="s">
        <v>859</v>
      </c>
      <c r="AR298" s="42" t="n">
        <v>1</v>
      </c>
      <c r="AS298" s="42"/>
      <c r="AT298" s="42" t="s">
        <v>859</v>
      </c>
      <c r="AU298" s="42" t="n">
        <v>1</v>
      </c>
      <c r="AV298" s="42"/>
      <c r="AW298" s="42"/>
      <c r="AX298" s="42" t="n">
        <v>3</v>
      </c>
      <c r="AY298" s="42" t="n">
        <v>0</v>
      </c>
      <c r="AZ298" s="42" t="s">
        <v>284</v>
      </c>
    </row>
    <row r="299" customFormat="false" ht="15" hidden="false" customHeight="false" outlineLevel="0" collapsed="false">
      <c r="A299" s="34" t="s">
        <v>860</v>
      </c>
      <c r="B299" s="35" t="s">
        <v>861</v>
      </c>
      <c r="C299" s="36" t="s">
        <v>298</v>
      </c>
      <c r="D299" s="37" t="s">
        <v>299</v>
      </c>
      <c r="E299" s="38" t="s">
        <v>84</v>
      </c>
      <c r="F299" s="39" t="n">
        <v>1.6</v>
      </c>
      <c r="G299" s="40" t="n">
        <v>40.64</v>
      </c>
      <c r="H299" s="40" t="n">
        <v>7.65</v>
      </c>
      <c r="I299" s="40" t="n">
        <f aca="false">G299+H299</f>
        <v>48.29</v>
      </c>
      <c r="J299" s="40" t="n">
        <f aca="false">G299*F299</f>
        <v>65.024</v>
      </c>
      <c r="K299" s="40" t="n">
        <f aca="false">H299*F299</f>
        <v>12.24</v>
      </c>
      <c r="L299" s="40" t="n">
        <f aca="false">J299+K299</f>
        <v>77.264</v>
      </c>
      <c r="M299" s="40" t="n">
        <f aca="false">ROUND(L299*(1+$M$4),2)</f>
        <v>97.37</v>
      </c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F299" s="41"/>
      <c r="AG299" s="41"/>
      <c r="AH299" s="41"/>
      <c r="AI299" s="41"/>
      <c r="AJ299" s="42"/>
      <c r="AK299" s="42"/>
      <c r="AL299" s="42"/>
      <c r="AM299" s="42"/>
      <c r="AN299" s="42"/>
      <c r="AO299" s="42"/>
      <c r="AP299" s="42"/>
      <c r="AQ299" s="42"/>
      <c r="AR299" s="42"/>
      <c r="AS299" s="42"/>
      <c r="AT299" s="42"/>
      <c r="AU299" s="42"/>
      <c r="AV299" s="42"/>
      <c r="AW299" s="42"/>
      <c r="AX299" s="42"/>
      <c r="AY299" s="42"/>
      <c r="AZ299" s="42"/>
    </row>
    <row r="300" customFormat="false" ht="15" hidden="false" customHeight="false" outlineLevel="0" collapsed="false">
      <c r="A300" s="34" t="s">
        <v>862</v>
      </c>
      <c r="B300" s="35" t="s">
        <v>861</v>
      </c>
      <c r="C300" s="36" t="s">
        <v>301</v>
      </c>
      <c r="D300" s="37" t="s">
        <v>805</v>
      </c>
      <c r="E300" s="38" t="s">
        <v>84</v>
      </c>
      <c r="F300" s="39" t="n">
        <f aca="false">F299</f>
        <v>1.6</v>
      </c>
      <c r="G300" s="40" t="n">
        <v>12.08</v>
      </c>
      <c r="H300" s="40" t="n">
        <f aca="false">I300-G300</f>
        <v>4.68</v>
      </c>
      <c r="I300" s="40" t="n">
        <f aca="false">16.76</f>
        <v>16.76</v>
      </c>
      <c r="J300" s="40" t="n">
        <f aca="false">G300*F300</f>
        <v>19.328</v>
      </c>
      <c r="K300" s="40" t="n">
        <f aca="false">H300*F300</f>
        <v>7.488</v>
      </c>
      <c r="L300" s="40" t="n">
        <f aca="false">I300*F300</f>
        <v>26.816</v>
      </c>
      <c r="M300" s="40" t="n">
        <f aca="false">ROUND(L300*(1+$M$4),2)</f>
        <v>33.79</v>
      </c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F300" s="41"/>
      <c r="AG300" s="41"/>
      <c r="AH300" s="41"/>
      <c r="AI300" s="41"/>
      <c r="AJ300" s="42"/>
      <c r="AK300" s="42"/>
      <c r="AL300" s="42"/>
      <c r="AM300" s="42"/>
      <c r="AN300" s="42"/>
      <c r="AO300" s="42"/>
      <c r="AP300" s="42"/>
      <c r="AQ300" s="42"/>
      <c r="AR300" s="42"/>
      <c r="AS300" s="42"/>
      <c r="AT300" s="42"/>
      <c r="AU300" s="42"/>
      <c r="AV300" s="42"/>
      <c r="AW300" s="42"/>
      <c r="AX300" s="42"/>
      <c r="AY300" s="42"/>
      <c r="AZ300" s="42"/>
    </row>
    <row r="301" customFormat="false" ht="15" hidden="false" customHeight="false" outlineLevel="0" collapsed="false">
      <c r="A301" s="34" t="s">
        <v>863</v>
      </c>
      <c r="B301" s="35" t="s">
        <v>819</v>
      </c>
      <c r="C301" s="36" t="n">
        <v>88485</v>
      </c>
      <c r="D301" s="37" t="s">
        <v>157</v>
      </c>
      <c r="E301" s="38" t="s">
        <v>84</v>
      </c>
      <c r="F301" s="39" t="n">
        <v>10.447</v>
      </c>
      <c r="G301" s="40" t="n">
        <v>2.06</v>
      </c>
      <c r="H301" s="40" t="n">
        <v>1.02</v>
      </c>
      <c r="I301" s="40" t="n">
        <f aca="false">G301+H301</f>
        <v>3.08</v>
      </c>
      <c r="J301" s="40" t="n">
        <f aca="false">G301*F301</f>
        <v>21.52082</v>
      </c>
      <c r="K301" s="40" t="n">
        <f aca="false">H301*F301</f>
        <v>10.65594</v>
      </c>
      <c r="L301" s="40" t="n">
        <f aca="false">J301+K301</f>
        <v>32.17676</v>
      </c>
      <c r="M301" s="40" t="n">
        <f aca="false">ROUND(L301*(1+$M$4),2)</f>
        <v>40.55</v>
      </c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F301" s="41"/>
      <c r="AG301" s="41"/>
      <c r="AH301" s="41"/>
      <c r="AI301" s="41"/>
      <c r="AJ301" s="42"/>
      <c r="AK301" s="42"/>
      <c r="AL301" s="42"/>
      <c r="AM301" s="42"/>
      <c r="AN301" s="42"/>
      <c r="AO301" s="42"/>
      <c r="AP301" s="42"/>
      <c r="AQ301" s="42"/>
      <c r="AR301" s="42"/>
      <c r="AS301" s="42"/>
      <c r="AT301" s="42"/>
      <c r="AU301" s="42"/>
      <c r="AV301" s="42"/>
      <c r="AW301" s="42"/>
      <c r="AX301" s="42"/>
      <c r="AY301" s="42"/>
      <c r="AZ301" s="42"/>
    </row>
    <row r="302" customFormat="false" ht="15" hidden="false" customHeight="false" outlineLevel="0" collapsed="false">
      <c r="A302" s="34" t="s">
        <v>864</v>
      </c>
      <c r="B302" s="35" t="s">
        <v>821</v>
      </c>
      <c r="C302" s="36" t="n">
        <v>88489</v>
      </c>
      <c r="D302" s="37" t="s">
        <v>79</v>
      </c>
      <c r="E302" s="38" t="s">
        <v>84</v>
      </c>
      <c r="F302" s="39" t="n">
        <f aca="false">F301</f>
        <v>10.447</v>
      </c>
      <c r="G302" s="40" t="n">
        <v>10.56</v>
      </c>
      <c r="H302" s="40" t="n">
        <v>4.93</v>
      </c>
      <c r="I302" s="40" t="n">
        <f aca="false">G302+H302</f>
        <v>15.49</v>
      </c>
      <c r="J302" s="40" t="n">
        <f aca="false">G302*F302</f>
        <v>110.32032</v>
      </c>
      <c r="K302" s="40" t="n">
        <f aca="false">H302*F302</f>
        <v>51.50371</v>
      </c>
      <c r="L302" s="40" t="n">
        <f aca="false">J302+K302</f>
        <v>161.82403</v>
      </c>
      <c r="M302" s="40" t="n">
        <f aca="false">ROUND(L302*(1+$M$4),2)</f>
        <v>203.93</v>
      </c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F302" s="41"/>
      <c r="AG302" s="41"/>
      <c r="AH302" s="41"/>
      <c r="AI302" s="41"/>
      <c r="AJ302" s="42"/>
      <c r="AK302" s="42"/>
      <c r="AL302" s="42"/>
      <c r="AM302" s="42"/>
      <c r="AN302" s="42"/>
      <c r="AO302" s="42"/>
      <c r="AP302" s="42"/>
      <c r="AQ302" s="42"/>
      <c r="AR302" s="42"/>
      <c r="AS302" s="42"/>
      <c r="AT302" s="42"/>
      <c r="AU302" s="42"/>
      <c r="AV302" s="42"/>
      <c r="AW302" s="42"/>
      <c r="AX302" s="42"/>
      <c r="AY302" s="42"/>
      <c r="AZ302" s="42"/>
    </row>
    <row r="303" customFormat="false" ht="15" hidden="false" customHeight="false" outlineLevel="0" collapsed="false">
      <c r="A303" s="34" t="s">
        <v>865</v>
      </c>
      <c r="B303" s="35" t="s">
        <v>866</v>
      </c>
      <c r="C303" s="36" t="s">
        <v>867</v>
      </c>
      <c r="D303" s="37" t="s">
        <v>868</v>
      </c>
      <c r="E303" s="38" t="s">
        <v>37</v>
      </c>
      <c r="F303" s="39" t="n">
        <f aca="false">1.9+1.45+0.6</f>
        <v>3.95</v>
      </c>
      <c r="G303" s="40" t="n">
        <f aca="false">COMPOSIÇÕES!H31</f>
        <v>893.517581111111</v>
      </c>
      <c r="H303" s="40" t="n">
        <f aca="false">COMPOSIÇÕES!I31</f>
        <v>55.67826</v>
      </c>
      <c r="I303" s="40" t="n">
        <f aca="false">SUM(G303:H303)</f>
        <v>949.195841111111</v>
      </c>
      <c r="J303" s="40" t="n">
        <f aca="false">G303*F303</f>
        <v>3529.39444538889</v>
      </c>
      <c r="K303" s="40" t="n">
        <f aca="false">H303*F303</f>
        <v>219.929127</v>
      </c>
      <c r="L303" s="40" t="n">
        <f aca="false">SUM(J303:K303)</f>
        <v>3749.32357238889</v>
      </c>
      <c r="M303" s="40" t="n">
        <f aca="false">ROUND(L303*(1+$M$4),2)</f>
        <v>4724.9</v>
      </c>
      <c r="N303" s="41" t="n">
        <v>0</v>
      </c>
      <c r="O303" s="41" t="s">
        <v>284</v>
      </c>
      <c r="P303" s="41" t="n">
        <v>0</v>
      </c>
      <c r="Q303" s="41"/>
      <c r="R303" s="41" t="n">
        <v>0</v>
      </c>
      <c r="S303" s="41" t="s">
        <v>284</v>
      </c>
      <c r="T303" s="41" t="n">
        <v>0</v>
      </c>
      <c r="U303" s="41"/>
      <c r="V303" s="41"/>
      <c r="W303" s="41" t="s">
        <v>284</v>
      </c>
      <c r="X303" s="41" t="n">
        <v>0</v>
      </c>
      <c r="Y303" s="41"/>
      <c r="Z303" s="41"/>
      <c r="AA303" s="41" t="s">
        <v>284</v>
      </c>
      <c r="AB303" s="41" t="n">
        <v>0</v>
      </c>
      <c r="AC303" s="41"/>
      <c r="AD303" s="41"/>
      <c r="AE303" s="41" t="s">
        <v>284</v>
      </c>
      <c r="AF303" s="41" t="n">
        <v>0</v>
      </c>
      <c r="AG303" s="41"/>
      <c r="AH303" s="41"/>
      <c r="AI303" s="41" t="s">
        <v>284</v>
      </c>
      <c r="AJ303" s="42" t="n">
        <v>0</v>
      </c>
      <c r="AK303" s="42"/>
      <c r="AL303" s="42"/>
      <c r="AM303" s="42" t="s">
        <v>284</v>
      </c>
      <c r="AN303" s="42" t="n">
        <v>0</v>
      </c>
      <c r="AO303" s="42"/>
      <c r="AP303" s="42" t="n">
        <v>3</v>
      </c>
      <c r="AQ303" s="42" t="s">
        <v>859</v>
      </c>
      <c r="AR303" s="42" t="n">
        <v>1</v>
      </c>
      <c r="AS303" s="42"/>
      <c r="AT303" s="42" t="s">
        <v>859</v>
      </c>
      <c r="AU303" s="42" t="n">
        <v>1</v>
      </c>
      <c r="AV303" s="42"/>
      <c r="AW303" s="42"/>
      <c r="AX303" s="42" t="n">
        <v>3</v>
      </c>
      <c r="AY303" s="42" t="n">
        <v>0</v>
      </c>
      <c r="AZ303" s="42" t="s">
        <v>284</v>
      </c>
    </row>
    <row r="304" customFormat="false" ht="15" hidden="false" customHeight="false" outlineLevel="0" collapsed="false">
      <c r="A304" s="34" t="s">
        <v>869</v>
      </c>
      <c r="B304" s="35" t="s">
        <v>870</v>
      </c>
      <c r="C304" s="36" t="s">
        <v>871</v>
      </c>
      <c r="D304" s="37" t="s">
        <v>872</v>
      </c>
      <c r="E304" s="38" t="s">
        <v>14</v>
      </c>
      <c r="F304" s="39" t="n">
        <v>2</v>
      </c>
      <c r="G304" s="40" t="n">
        <v>375.62</v>
      </c>
      <c r="H304" s="40" t="n">
        <v>20.15</v>
      </c>
      <c r="I304" s="40" t="n">
        <f aca="false">SUM(G304:H304)</f>
        <v>395.77</v>
      </c>
      <c r="J304" s="40" t="n">
        <f aca="false">G304*F304</f>
        <v>751.24</v>
      </c>
      <c r="K304" s="40" t="n">
        <f aca="false">H304*F304</f>
        <v>40.3</v>
      </c>
      <c r="L304" s="40" t="n">
        <f aca="false">SUM(J304:K304)</f>
        <v>791.54</v>
      </c>
      <c r="M304" s="40" t="n">
        <f aca="false">ROUND(L304*(1+$M$4),2)</f>
        <v>997.5</v>
      </c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F304" s="41"/>
      <c r="AG304" s="41"/>
      <c r="AH304" s="41"/>
      <c r="AI304" s="41"/>
      <c r="AJ304" s="42"/>
      <c r="AK304" s="42"/>
      <c r="AL304" s="42"/>
      <c r="AM304" s="42"/>
      <c r="AN304" s="42"/>
      <c r="AO304" s="42"/>
      <c r="AP304" s="42"/>
      <c r="AQ304" s="42"/>
      <c r="AR304" s="42"/>
      <c r="AS304" s="42"/>
      <c r="AT304" s="42"/>
      <c r="AU304" s="42"/>
      <c r="AV304" s="42"/>
      <c r="AW304" s="42"/>
      <c r="AX304" s="42"/>
      <c r="AY304" s="42"/>
      <c r="AZ304" s="42"/>
    </row>
    <row r="305" customFormat="false" ht="15" hidden="false" customHeight="false" outlineLevel="0" collapsed="false">
      <c r="A305" s="34" t="s">
        <v>873</v>
      </c>
      <c r="B305" s="35" t="s">
        <v>874</v>
      </c>
      <c r="C305" s="36" t="s">
        <v>875</v>
      </c>
      <c r="D305" s="37" t="s">
        <v>876</v>
      </c>
      <c r="E305" s="38" t="s">
        <v>14</v>
      </c>
      <c r="F305" s="39" t="n">
        <v>2</v>
      </c>
      <c r="G305" s="40" t="n">
        <v>94.86</v>
      </c>
      <c r="H305" s="40" t="n">
        <v>4.26</v>
      </c>
      <c r="I305" s="40" t="n">
        <f aca="false">SUM(G305:H305)</f>
        <v>99.12</v>
      </c>
      <c r="J305" s="40" t="n">
        <f aca="false">G305*F305</f>
        <v>189.72</v>
      </c>
      <c r="K305" s="40" t="n">
        <f aca="false">H305*F305</f>
        <v>8.52</v>
      </c>
      <c r="L305" s="40" t="n">
        <f aca="false">SUM(J305:K305)</f>
        <v>198.24</v>
      </c>
      <c r="M305" s="40" t="n">
        <f aca="false">ROUND(L305*(1+$M$4),2)</f>
        <v>249.82</v>
      </c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F305" s="41"/>
      <c r="AG305" s="41"/>
      <c r="AH305" s="41"/>
      <c r="AI305" s="41"/>
      <c r="AJ305" s="42"/>
      <c r="AK305" s="42"/>
      <c r="AL305" s="42"/>
      <c r="AM305" s="42"/>
      <c r="AN305" s="42"/>
      <c r="AO305" s="42"/>
      <c r="AP305" s="42"/>
      <c r="AQ305" s="42"/>
      <c r="AR305" s="42"/>
      <c r="AS305" s="42"/>
      <c r="AT305" s="42"/>
      <c r="AU305" s="42"/>
      <c r="AV305" s="42"/>
      <c r="AW305" s="42"/>
      <c r="AX305" s="42"/>
      <c r="AY305" s="42"/>
      <c r="AZ305" s="42"/>
    </row>
    <row r="306" customFormat="false" ht="15" hidden="false" customHeight="false" outlineLevel="0" collapsed="false">
      <c r="A306" s="67" t="s">
        <v>877</v>
      </c>
      <c r="B306" s="68" t="s">
        <v>878</v>
      </c>
      <c r="C306" s="68"/>
      <c r="D306" s="83"/>
      <c r="E306" s="83"/>
      <c r="F306" s="84"/>
      <c r="G306" s="85"/>
      <c r="H306" s="85"/>
      <c r="I306" s="85"/>
      <c r="J306" s="48" t="n">
        <f aca="false">SUM(J307:J316)</f>
        <v>871.6746</v>
      </c>
      <c r="K306" s="48" t="n">
        <f aca="false">SUM(K307:K316)</f>
        <v>245.2003</v>
      </c>
      <c r="L306" s="48" t="n">
        <f aca="false">SUM(L307:L316)</f>
        <v>1116.8749</v>
      </c>
      <c r="M306" s="48" t="n">
        <f aca="false">SUM(M307:M316)</f>
        <v>1407.51</v>
      </c>
      <c r="N306" s="82" t="n">
        <f aca="false">M306</f>
        <v>1407.51</v>
      </c>
      <c r="O306" s="66"/>
      <c r="P306" s="66"/>
      <c r="Q306" s="66"/>
      <c r="R306" s="66"/>
      <c r="S306" s="66"/>
      <c r="T306" s="66"/>
      <c r="U306" s="66"/>
      <c r="V306" s="66"/>
      <c r="W306" s="66"/>
      <c r="X306" s="66"/>
      <c r="Y306" s="66"/>
      <c r="Z306" s="66"/>
      <c r="AA306" s="66"/>
      <c r="AB306" s="66"/>
      <c r="AC306" s="66"/>
      <c r="AD306" s="66"/>
      <c r="AE306" s="66"/>
      <c r="AF306" s="66"/>
      <c r="AG306" s="66"/>
      <c r="AH306" s="66"/>
      <c r="AI306" s="66"/>
      <c r="AJ306" s="66"/>
      <c r="AK306" s="66"/>
      <c r="AL306" s="66"/>
      <c r="AM306" s="66"/>
      <c r="AN306" s="66"/>
      <c r="AO306" s="66"/>
      <c r="AP306" s="66"/>
      <c r="AQ306" s="66"/>
      <c r="AR306" s="66"/>
      <c r="AS306" s="66"/>
      <c r="AT306" s="66"/>
      <c r="AU306" s="66"/>
      <c r="AV306" s="66"/>
      <c r="AW306" s="66"/>
      <c r="AX306" s="66"/>
      <c r="AY306" s="66"/>
      <c r="AZ306" s="66"/>
    </row>
    <row r="307" customFormat="false" ht="15" hidden="false" customHeight="false" outlineLevel="0" collapsed="false">
      <c r="A307" s="34" t="s">
        <v>879</v>
      </c>
      <c r="B307" s="35" t="s">
        <v>880</v>
      </c>
      <c r="C307" s="36" t="s">
        <v>282</v>
      </c>
      <c r="D307" s="37" t="s">
        <v>283</v>
      </c>
      <c r="E307" s="38" t="s">
        <v>37</v>
      </c>
      <c r="F307" s="39" t="n">
        <v>1.65</v>
      </c>
      <c r="G307" s="40" t="n">
        <v>55.37</v>
      </c>
      <c r="H307" s="40" t="n">
        <v>64.35</v>
      </c>
      <c r="I307" s="40" t="n">
        <f aca="false">SUM(G307:H307)</f>
        <v>119.72</v>
      </c>
      <c r="J307" s="40" t="n">
        <f aca="false">G307*F307</f>
        <v>91.3605</v>
      </c>
      <c r="K307" s="40" t="n">
        <f aca="false">H307*F307</f>
        <v>106.1775</v>
      </c>
      <c r="L307" s="40" t="n">
        <f aca="false">SUM(J307:K307)</f>
        <v>197.538</v>
      </c>
      <c r="M307" s="40" t="n">
        <f aca="false">ROUND(L307*(1+$M$4),2)</f>
        <v>248.94</v>
      </c>
      <c r="N307" s="41" t="n">
        <v>0</v>
      </c>
      <c r="O307" s="41" t="s">
        <v>284</v>
      </c>
      <c r="P307" s="41" t="n">
        <v>0</v>
      </c>
      <c r="Q307" s="41"/>
      <c r="R307" s="41" t="n">
        <v>0</v>
      </c>
      <c r="S307" s="41" t="s">
        <v>284</v>
      </c>
      <c r="T307" s="41" t="n">
        <v>0</v>
      </c>
      <c r="U307" s="41"/>
      <c r="V307" s="41" t="n">
        <v>0.5</v>
      </c>
      <c r="W307" s="41" t="s">
        <v>285</v>
      </c>
      <c r="X307" s="41" t="n">
        <v>0.5</v>
      </c>
      <c r="Y307" s="41"/>
      <c r="Z307" s="41"/>
      <c r="AA307" s="41" t="s">
        <v>284</v>
      </c>
      <c r="AB307" s="41" t="n">
        <v>0</v>
      </c>
      <c r="AC307" s="41"/>
      <c r="AD307" s="41"/>
      <c r="AE307" s="41" t="s">
        <v>284</v>
      </c>
      <c r="AF307" s="41" t="n">
        <v>0</v>
      </c>
      <c r="AG307" s="41"/>
      <c r="AH307" s="41"/>
      <c r="AI307" s="41" t="s">
        <v>284</v>
      </c>
      <c r="AJ307" s="42" t="n">
        <v>0</v>
      </c>
      <c r="AK307" s="42"/>
      <c r="AL307" s="42"/>
      <c r="AM307" s="42" t="s">
        <v>284</v>
      </c>
      <c r="AN307" s="42" t="n">
        <v>0</v>
      </c>
      <c r="AO307" s="42"/>
      <c r="AP307" s="42" t="n">
        <v>0.5</v>
      </c>
      <c r="AQ307" s="42" t="s">
        <v>285</v>
      </c>
      <c r="AR307" s="42" t="n">
        <v>0.5</v>
      </c>
      <c r="AS307" s="42"/>
      <c r="AT307" s="42" t="s">
        <v>286</v>
      </c>
      <c r="AU307" s="42" t="n">
        <v>1</v>
      </c>
      <c r="AV307" s="42"/>
      <c r="AW307" s="42"/>
      <c r="AX307" s="42" t="n">
        <v>1</v>
      </c>
      <c r="AY307" s="42" t="n">
        <v>0</v>
      </c>
      <c r="AZ307" s="42" t="s">
        <v>284</v>
      </c>
    </row>
    <row r="308" customFormat="false" ht="15" hidden="false" customHeight="false" outlineLevel="0" collapsed="false">
      <c r="A308" s="34" t="s">
        <v>881</v>
      </c>
      <c r="B308" s="35" t="s">
        <v>880</v>
      </c>
      <c r="C308" s="36" t="n">
        <v>101964</v>
      </c>
      <c r="D308" s="37" t="s">
        <v>882</v>
      </c>
      <c r="E308" s="38" t="s">
        <v>37</v>
      </c>
      <c r="F308" s="39" t="n">
        <v>0.56</v>
      </c>
      <c r="G308" s="40" t="n">
        <v>146.11</v>
      </c>
      <c r="H308" s="40" t="n">
        <v>25.13</v>
      </c>
      <c r="I308" s="40" t="n">
        <f aca="false">SUM(G308:H308)</f>
        <v>171.24</v>
      </c>
      <c r="J308" s="40" t="n">
        <f aca="false">G308*F308</f>
        <v>81.8216</v>
      </c>
      <c r="K308" s="40" t="n">
        <f aca="false">H308*F308</f>
        <v>14.0728</v>
      </c>
      <c r="L308" s="40" t="n">
        <f aca="false">SUM(J308:K308)</f>
        <v>95.8944</v>
      </c>
      <c r="M308" s="40" t="n">
        <f aca="false">ROUND(L308*(1+$M$4),2)</f>
        <v>120.85</v>
      </c>
      <c r="N308" s="41" t="n">
        <v>0</v>
      </c>
      <c r="O308" s="41" t="s">
        <v>284</v>
      </c>
      <c r="P308" s="41" t="n">
        <v>0</v>
      </c>
      <c r="Q308" s="41"/>
      <c r="R308" s="41" t="n">
        <v>0</v>
      </c>
      <c r="S308" s="41" t="s">
        <v>284</v>
      </c>
      <c r="T308" s="41" t="n">
        <v>0</v>
      </c>
      <c r="U308" s="41"/>
      <c r="V308" s="41"/>
      <c r="W308" s="41" t="s">
        <v>284</v>
      </c>
      <c r="X308" s="41" t="n">
        <v>0</v>
      </c>
      <c r="Y308" s="41"/>
      <c r="Z308" s="41"/>
      <c r="AA308" s="41" t="s">
        <v>284</v>
      </c>
      <c r="AB308" s="41" t="n">
        <v>0</v>
      </c>
      <c r="AC308" s="41"/>
      <c r="AD308" s="41"/>
      <c r="AE308" s="41" t="s">
        <v>284</v>
      </c>
      <c r="AF308" s="41" t="n">
        <v>0</v>
      </c>
      <c r="AG308" s="41"/>
      <c r="AH308" s="41"/>
      <c r="AI308" s="41" t="s">
        <v>284</v>
      </c>
      <c r="AJ308" s="42" t="n">
        <v>0</v>
      </c>
      <c r="AK308" s="42"/>
      <c r="AL308" s="42"/>
      <c r="AM308" s="42" t="s">
        <v>284</v>
      </c>
      <c r="AN308" s="42" t="n">
        <v>0</v>
      </c>
      <c r="AO308" s="42"/>
      <c r="AP308" s="42" t="n">
        <v>2</v>
      </c>
      <c r="AQ308" s="42" t="s">
        <v>883</v>
      </c>
      <c r="AR308" s="42" t="n">
        <v>1</v>
      </c>
      <c r="AS308" s="42"/>
      <c r="AT308" s="42" t="s">
        <v>883</v>
      </c>
      <c r="AU308" s="42" t="n">
        <v>1</v>
      </c>
      <c r="AV308" s="42"/>
      <c r="AW308" s="42"/>
      <c r="AX308" s="42" t="n">
        <v>2</v>
      </c>
      <c r="AY308" s="42" t="n">
        <v>0</v>
      </c>
      <c r="AZ308" s="42" t="s">
        <v>284</v>
      </c>
    </row>
    <row r="309" customFormat="false" ht="15" hidden="false" customHeight="false" outlineLevel="0" collapsed="false">
      <c r="A309" s="34" t="s">
        <v>884</v>
      </c>
      <c r="B309" s="35" t="s">
        <v>880</v>
      </c>
      <c r="C309" s="36" t="n">
        <v>87878</v>
      </c>
      <c r="D309" s="37" t="s">
        <v>854</v>
      </c>
      <c r="E309" s="38" t="s">
        <v>37</v>
      </c>
      <c r="F309" s="39" t="n">
        <f aca="false">3.85+1.1</f>
        <v>4.95</v>
      </c>
      <c r="G309" s="40" t="n">
        <v>2.11</v>
      </c>
      <c r="H309" s="40" t="n">
        <v>1.87</v>
      </c>
      <c r="I309" s="40" t="n">
        <f aca="false">SUM(G309:H309)</f>
        <v>3.98</v>
      </c>
      <c r="J309" s="40" t="n">
        <f aca="false">G309*F309</f>
        <v>10.4445</v>
      </c>
      <c r="K309" s="40" t="n">
        <f aca="false">H309*F309</f>
        <v>9.2565</v>
      </c>
      <c r="L309" s="40" t="n">
        <f aca="false">SUM(J309:K309)</f>
        <v>19.701</v>
      </c>
      <c r="M309" s="40" t="n">
        <f aca="false">ROUND(L309*(1+$M$4),2)</f>
        <v>24.83</v>
      </c>
      <c r="N309" s="41" t="n">
        <v>0</v>
      </c>
      <c r="O309" s="41" t="s">
        <v>284</v>
      </c>
      <c r="P309" s="41" t="n">
        <v>0</v>
      </c>
      <c r="Q309" s="41"/>
      <c r="R309" s="41" t="n">
        <v>0</v>
      </c>
      <c r="S309" s="41" t="s">
        <v>284</v>
      </c>
      <c r="T309" s="41" t="n">
        <v>0</v>
      </c>
      <c r="U309" s="41"/>
      <c r="V309" s="41"/>
      <c r="W309" s="41" t="s">
        <v>284</v>
      </c>
      <c r="X309" s="41" t="n">
        <v>0</v>
      </c>
      <c r="Y309" s="41"/>
      <c r="Z309" s="41"/>
      <c r="AA309" s="41" t="s">
        <v>284</v>
      </c>
      <c r="AB309" s="41" t="n">
        <v>0</v>
      </c>
      <c r="AC309" s="41"/>
      <c r="AD309" s="41"/>
      <c r="AE309" s="41" t="s">
        <v>284</v>
      </c>
      <c r="AF309" s="41" t="n">
        <v>0</v>
      </c>
      <c r="AG309" s="41"/>
      <c r="AH309" s="41"/>
      <c r="AI309" s="41" t="s">
        <v>284</v>
      </c>
      <c r="AJ309" s="42" t="n">
        <v>0</v>
      </c>
      <c r="AK309" s="42"/>
      <c r="AL309" s="42"/>
      <c r="AM309" s="42" t="s">
        <v>284</v>
      </c>
      <c r="AN309" s="42" t="n">
        <v>0</v>
      </c>
      <c r="AO309" s="42"/>
      <c r="AP309" s="42" t="n">
        <v>4</v>
      </c>
      <c r="AQ309" s="42" t="s">
        <v>855</v>
      </c>
      <c r="AR309" s="42" t="n">
        <v>1</v>
      </c>
      <c r="AS309" s="42"/>
      <c r="AT309" s="42" t="s">
        <v>855</v>
      </c>
      <c r="AU309" s="42" t="n">
        <v>1</v>
      </c>
      <c r="AV309" s="42"/>
      <c r="AW309" s="42"/>
      <c r="AX309" s="42" t="n">
        <v>4</v>
      </c>
      <c r="AY309" s="42" t="n">
        <v>0</v>
      </c>
      <c r="AZ309" s="42" t="s">
        <v>284</v>
      </c>
    </row>
    <row r="310" customFormat="false" ht="15" hidden="false" customHeight="false" outlineLevel="0" collapsed="false">
      <c r="A310" s="34" t="s">
        <v>885</v>
      </c>
      <c r="B310" s="35" t="s">
        <v>880</v>
      </c>
      <c r="C310" s="36" t="n">
        <v>87529</v>
      </c>
      <c r="D310" s="37" t="s">
        <v>67</v>
      </c>
      <c r="E310" s="38" t="s">
        <v>37</v>
      </c>
      <c r="F310" s="39" t="n">
        <f aca="false">F309</f>
        <v>4.95</v>
      </c>
      <c r="G310" s="40" t="n">
        <v>18.08</v>
      </c>
      <c r="H310" s="40" t="n">
        <v>15</v>
      </c>
      <c r="I310" s="40" t="n">
        <f aca="false">SUM(G310:H310)</f>
        <v>33.08</v>
      </c>
      <c r="J310" s="40" t="n">
        <f aca="false">G310*F310</f>
        <v>89.496</v>
      </c>
      <c r="K310" s="40" t="n">
        <f aca="false">H310*F310</f>
        <v>74.25</v>
      </c>
      <c r="L310" s="40" t="n">
        <f aca="false">SUM(J310:K310)</f>
        <v>163.746</v>
      </c>
      <c r="M310" s="40" t="n">
        <f aca="false">ROUND(L310*(1+$M$4),2)</f>
        <v>206.35</v>
      </c>
      <c r="N310" s="41" t="n">
        <v>0</v>
      </c>
      <c r="O310" s="41" t="s">
        <v>284</v>
      </c>
      <c r="P310" s="41" t="n">
        <v>0</v>
      </c>
      <c r="Q310" s="41"/>
      <c r="R310" s="41" t="n">
        <v>0</v>
      </c>
      <c r="S310" s="41" t="s">
        <v>284</v>
      </c>
      <c r="T310" s="41" t="n">
        <v>0</v>
      </c>
      <c r="U310" s="41"/>
      <c r="V310" s="41"/>
      <c r="W310" s="41" t="s">
        <v>284</v>
      </c>
      <c r="X310" s="41" t="n">
        <v>0</v>
      </c>
      <c r="Y310" s="41"/>
      <c r="Z310" s="41"/>
      <c r="AA310" s="41" t="s">
        <v>284</v>
      </c>
      <c r="AB310" s="41" t="n">
        <v>0</v>
      </c>
      <c r="AC310" s="41"/>
      <c r="AD310" s="41"/>
      <c r="AE310" s="41" t="s">
        <v>284</v>
      </c>
      <c r="AF310" s="41" t="n">
        <v>0</v>
      </c>
      <c r="AG310" s="41"/>
      <c r="AH310" s="41"/>
      <c r="AI310" s="41" t="s">
        <v>284</v>
      </c>
      <c r="AJ310" s="42" t="n">
        <v>0</v>
      </c>
      <c r="AK310" s="42"/>
      <c r="AL310" s="42"/>
      <c r="AM310" s="42" t="s">
        <v>284</v>
      </c>
      <c r="AN310" s="42" t="n">
        <v>0</v>
      </c>
      <c r="AO310" s="42"/>
      <c r="AP310" s="42" t="n">
        <v>3</v>
      </c>
      <c r="AQ310" s="42" t="s">
        <v>859</v>
      </c>
      <c r="AR310" s="42" t="n">
        <v>1</v>
      </c>
      <c r="AS310" s="42"/>
      <c r="AT310" s="42" t="s">
        <v>859</v>
      </c>
      <c r="AU310" s="42" t="n">
        <v>1</v>
      </c>
      <c r="AV310" s="42"/>
      <c r="AW310" s="42"/>
      <c r="AX310" s="42" t="n">
        <v>3</v>
      </c>
      <c r="AY310" s="42" t="n">
        <v>0</v>
      </c>
      <c r="AZ310" s="42" t="s">
        <v>284</v>
      </c>
    </row>
    <row r="311" customFormat="false" ht="15" hidden="false" customHeight="false" outlineLevel="0" collapsed="false">
      <c r="A311" s="34" t="s">
        <v>886</v>
      </c>
      <c r="B311" s="35" t="s">
        <v>880</v>
      </c>
      <c r="C311" s="36" t="s">
        <v>78</v>
      </c>
      <c r="D311" s="37" t="s">
        <v>79</v>
      </c>
      <c r="E311" s="38" t="s">
        <v>37</v>
      </c>
      <c r="F311" s="39" t="n">
        <f aca="false">F310</f>
        <v>4.95</v>
      </c>
      <c r="G311" s="40" t="n">
        <v>10.56</v>
      </c>
      <c r="H311" s="40" t="n">
        <v>4.93</v>
      </c>
      <c r="I311" s="40" t="n">
        <f aca="false">SUM(G311:H311)</f>
        <v>15.49</v>
      </c>
      <c r="J311" s="40" t="n">
        <f aca="false">G311*F311</f>
        <v>52.272</v>
      </c>
      <c r="K311" s="40" t="n">
        <f aca="false">H311*F311</f>
        <v>24.4035</v>
      </c>
      <c r="L311" s="40" t="n">
        <f aca="false">SUM(J311:K311)</f>
        <v>76.6755</v>
      </c>
      <c r="M311" s="40" t="n">
        <f aca="false">ROUND(L311*(1+$M$4),2)</f>
        <v>96.63</v>
      </c>
      <c r="N311" s="41" t="n">
        <v>0</v>
      </c>
      <c r="O311" s="41" t="s">
        <v>284</v>
      </c>
      <c r="P311" s="41" t="n">
        <v>0</v>
      </c>
      <c r="Q311" s="41"/>
      <c r="R311" s="41" t="n">
        <v>0</v>
      </c>
      <c r="S311" s="41" t="s">
        <v>284</v>
      </c>
      <c r="T311" s="41" t="n">
        <v>0</v>
      </c>
      <c r="U311" s="41"/>
      <c r="V311" s="41"/>
      <c r="W311" s="41" t="s">
        <v>284</v>
      </c>
      <c r="X311" s="41" t="n">
        <v>0</v>
      </c>
      <c r="Y311" s="41"/>
      <c r="Z311" s="41"/>
      <c r="AA311" s="41" t="s">
        <v>284</v>
      </c>
      <c r="AB311" s="41" t="n">
        <v>0</v>
      </c>
      <c r="AC311" s="41"/>
      <c r="AD311" s="41"/>
      <c r="AE311" s="41" t="s">
        <v>284</v>
      </c>
      <c r="AF311" s="41" t="n">
        <v>0</v>
      </c>
      <c r="AG311" s="41"/>
      <c r="AH311" s="41"/>
      <c r="AI311" s="41" t="s">
        <v>284</v>
      </c>
      <c r="AJ311" s="42" t="n">
        <v>0</v>
      </c>
      <c r="AK311" s="42"/>
      <c r="AL311" s="42"/>
      <c r="AM311" s="42" t="s">
        <v>284</v>
      </c>
      <c r="AN311" s="42" t="n">
        <v>0</v>
      </c>
      <c r="AO311" s="42"/>
      <c r="AP311" s="42" t="n">
        <v>3</v>
      </c>
      <c r="AQ311" s="42" t="s">
        <v>859</v>
      </c>
      <c r="AR311" s="42" t="n">
        <v>1</v>
      </c>
      <c r="AS311" s="42"/>
      <c r="AT311" s="42" t="s">
        <v>859</v>
      </c>
      <c r="AU311" s="42" t="n">
        <v>1</v>
      </c>
      <c r="AV311" s="42"/>
      <c r="AW311" s="42"/>
      <c r="AX311" s="42" t="n">
        <v>3</v>
      </c>
      <c r="AY311" s="42" t="n">
        <v>0</v>
      </c>
      <c r="AZ311" s="42" t="s">
        <v>284</v>
      </c>
    </row>
    <row r="312" customFormat="false" ht="15" hidden="false" customHeight="false" outlineLevel="0" collapsed="false">
      <c r="A312" s="34" t="s">
        <v>887</v>
      </c>
      <c r="B312" s="35" t="s">
        <v>880</v>
      </c>
      <c r="C312" s="36" t="n">
        <v>94992</v>
      </c>
      <c r="D312" s="37" t="s">
        <v>888</v>
      </c>
      <c r="E312" s="38" t="s">
        <v>37</v>
      </c>
      <c r="F312" s="39" t="n">
        <v>0.5</v>
      </c>
      <c r="G312" s="40" t="n">
        <v>74.35</v>
      </c>
      <c r="H312" s="40" t="n">
        <v>17.28</v>
      </c>
      <c r="I312" s="40" t="n">
        <f aca="false">SUM(G312:H312)</f>
        <v>91.63</v>
      </c>
      <c r="J312" s="40" t="n">
        <f aca="false">G312*F312</f>
        <v>37.175</v>
      </c>
      <c r="K312" s="40" t="n">
        <f aca="false">H312*F312</f>
        <v>8.64</v>
      </c>
      <c r="L312" s="40" t="n">
        <f aca="false">SUM(J312:K312)</f>
        <v>45.815</v>
      </c>
      <c r="M312" s="40" t="n">
        <f aca="false">ROUND(L312*(1+$M$4),2)</f>
        <v>57.74</v>
      </c>
      <c r="N312" s="41" t="n">
        <v>0</v>
      </c>
      <c r="O312" s="41" t="s">
        <v>284</v>
      </c>
      <c r="P312" s="41" t="n">
        <v>0</v>
      </c>
      <c r="Q312" s="41"/>
      <c r="R312" s="41" t="n">
        <v>0</v>
      </c>
      <c r="S312" s="41" t="s">
        <v>284</v>
      </c>
      <c r="T312" s="41" t="n">
        <v>0</v>
      </c>
      <c r="U312" s="41"/>
      <c r="V312" s="41" t="n">
        <v>0.5</v>
      </c>
      <c r="W312" s="41" t="s">
        <v>285</v>
      </c>
      <c r="X312" s="41" t="n">
        <v>0.5</v>
      </c>
      <c r="Y312" s="41"/>
      <c r="Z312" s="41"/>
      <c r="AA312" s="41" t="s">
        <v>284</v>
      </c>
      <c r="AB312" s="41" t="n">
        <v>0</v>
      </c>
      <c r="AC312" s="41"/>
      <c r="AD312" s="41"/>
      <c r="AE312" s="41" t="s">
        <v>284</v>
      </c>
      <c r="AF312" s="41" t="n">
        <v>0</v>
      </c>
      <c r="AG312" s="41"/>
      <c r="AH312" s="41"/>
      <c r="AI312" s="41" t="s">
        <v>284</v>
      </c>
      <c r="AJ312" s="42" t="n">
        <v>0</v>
      </c>
      <c r="AK312" s="42"/>
      <c r="AL312" s="42"/>
      <c r="AM312" s="42" t="s">
        <v>284</v>
      </c>
      <c r="AN312" s="42" t="n">
        <v>0</v>
      </c>
      <c r="AO312" s="42"/>
      <c r="AP312" s="42" t="n">
        <v>0.5</v>
      </c>
      <c r="AQ312" s="42" t="s">
        <v>285</v>
      </c>
      <c r="AR312" s="42" t="n">
        <v>0.5</v>
      </c>
      <c r="AS312" s="42"/>
      <c r="AT312" s="42" t="s">
        <v>286</v>
      </c>
      <c r="AU312" s="42" t="n">
        <v>1</v>
      </c>
      <c r="AV312" s="42"/>
      <c r="AW312" s="42"/>
      <c r="AX312" s="42" t="n">
        <v>1</v>
      </c>
      <c r="AY312" s="42" t="n">
        <v>0</v>
      </c>
      <c r="AZ312" s="42" t="s">
        <v>284</v>
      </c>
    </row>
    <row r="313" customFormat="false" ht="15" hidden="false" customHeight="false" outlineLevel="0" collapsed="false">
      <c r="A313" s="34" t="s">
        <v>889</v>
      </c>
      <c r="B313" s="35" t="s">
        <v>880</v>
      </c>
      <c r="C313" s="36" t="s">
        <v>890</v>
      </c>
      <c r="D313" s="37" t="s">
        <v>891</v>
      </c>
      <c r="E313" s="38" t="s">
        <v>37</v>
      </c>
      <c r="F313" s="39" t="n">
        <f aca="false">0.8*0.5</f>
        <v>0.4</v>
      </c>
      <c r="G313" s="40" t="n">
        <v>893.15</v>
      </c>
      <c r="H313" s="40" t="n">
        <v>10.85</v>
      </c>
      <c r="I313" s="40" t="n">
        <f aca="false">SUM(G313:H313)</f>
        <v>904</v>
      </c>
      <c r="J313" s="40" t="n">
        <f aca="false">G313*F313</f>
        <v>357.26</v>
      </c>
      <c r="K313" s="40" t="n">
        <f aca="false">H313*F313</f>
        <v>4.34</v>
      </c>
      <c r="L313" s="40" t="n">
        <f aca="false">SUM(J313:K313)</f>
        <v>361.6</v>
      </c>
      <c r="M313" s="40" t="n">
        <f aca="false">ROUND(L313*(1+$M$4),2)</f>
        <v>455.69</v>
      </c>
      <c r="N313" s="41" t="n">
        <v>0</v>
      </c>
      <c r="O313" s="41" t="s">
        <v>284</v>
      </c>
      <c r="P313" s="41" t="n">
        <v>0</v>
      </c>
      <c r="Q313" s="41"/>
      <c r="R313" s="41" t="n">
        <v>0</v>
      </c>
      <c r="S313" s="41" t="s">
        <v>284</v>
      </c>
      <c r="T313" s="41" t="n">
        <v>0</v>
      </c>
      <c r="U313" s="41"/>
      <c r="V313" s="41" t="n">
        <v>0.5</v>
      </c>
      <c r="W313" s="41" t="s">
        <v>285</v>
      </c>
      <c r="X313" s="41" t="n">
        <v>0.5</v>
      </c>
      <c r="Y313" s="41"/>
      <c r="Z313" s="41"/>
      <c r="AA313" s="41" t="s">
        <v>284</v>
      </c>
      <c r="AB313" s="41" t="n">
        <v>0</v>
      </c>
      <c r="AC313" s="41"/>
      <c r="AD313" s="41"/>
      <c r="AE313" s="41" t="s">
        <v>284</v>
      </c>
      <c r="AF313" s="41" t="n">
        <v>0</v>
      </c>
      <c r="AG313" s="41"/>
      <c r="AH313" s="41"/>
      <c r="AI313" s="41" t="s">
        <v>284</v>
      </c>
      <c r="AJ313" s="42" t="n">
        <v>0</v>
      </c>
      <c r="AK313" s="42"/>
      <c r="AL313" s="42"/>
      <c r="AM313" s="42" t="s">
        <v>284</v>
      </c>
      <c r="AN313" s="42" t="n">
        <v>0</v>
      </c>
      <c r="AO313" s="42"/>
      <c r="AP313" s="42" t="n">
        <v>0.5</v>
      </c>
      <c r="AQ313" s="42" t="s">
        <v>285</v>
      </c>
      <c r="AR313" s="42" t="n">
        <v>0.5</v>
      </c>
      <c r="AS313" s="42"/>
      <c r="AT313" s="42" t="s">
        <v>286</v>
      </c>
      <c r="AU313" s="42" t="n">
        <v>1</v>
      </c>
      <c r="AV313" s="42"/>
      <c r="AW313" s="42"/>
      <c r="AX313" s="42" t="n">
        <v>1</v>
      </c>
      <c r="AY313" s="42" t="n">
        <v>0</v>
      </c>
      <c r="AZ313" s="42" t="s">
        <v>284</v>
      </c>
    </row>
    <row r="314" customFormat="false" ht="15" hidden="false" customHeight="false" outlineLevel="0" collapsed="false">
      <c r="A314" s="34" t="s">
        <v>892</v>
      </c>
      <c r="B314" s="35" t="s">
        <v>893</v>
      </c>
      <c r="C314" s="36" t="s">
        <v>894</v>
      </c>
      <c r="D314" s="37" t="s">
        <v>895</v>
      </c>
      <c r="E314" s="38" t="s">
        <v>14</v>
      </c>
      <c r="F314" s="39" t="n">
        <v>1</v>
      </c>
      <c r="G314" s="40" t="n">
        <v>39.67</v>
      </c>
      <c r="H314" s="40" t="n">
        <v>4.06</v>
      </c>
      <c r="I314" s="40" t="n">
        <f aca="false">SUM(G314:H314)</f>
        <v>43.73</v>
      </c>
      <c r="J314" s="40" t="n">
        <f aca="false">G314*F314</f>
        <v>39.67</v>
      </c>
      <c r="K314" s="40" t="n">
        <f aca="false">H314*F314</f>
        <v>4.06</v>
      </c>
      <c r="L314" s="40" t="n">
        <f aca="false">SUM(J314:K314)</f>
        <v>43.73</v>
      </c>
      <c r="M314" s="40" t="n">
        <f aca="false">ROUND(L314*(1+$M$4),2)</f>
        <v>55.11</v>
      </c>
      <c r="N314" s="41" t="n">
        <v>0</v>
      </c>
      <c r="O314" s="41" t="s">
        <v>284</v>
      </c>
      <c r="P314" s="41" t="n">
        <v>0</v>
      </c>
      <c r="Q314" s="41"/>
      <c r="R314" s="41" t="n">
        <v>0</v>
      </c>
      <c r="S314" s="41" t="s">
        <v>284</v>
      </c>
      <c r="T314" s="41" t="n">
        <v>0</v>
      </c>
      <c r="U314" s="41"/>
      <c r="V314" s="41"/>
      <c r="W314" s="41" t="s">
        <v>284</v>
      </c>
      <c r="X314" s="41" t="n">
        <v>0</v>
      </c>
      <c r="Y314" s="41"/>
      <c r="Z314" s="41"/>
      <c r="AA314" s="41" t="s">
        <v>284</v>
      </c>
      <c r="AB314" s="41" t="n">
        <v>0</v>
      </c>
      <c r="AC314" s="41"/>
      <c r="AD314" s="41"/>
      <c r="AE314" s="41" t="s">
        <v>284</v>
      </c>
      <c r="AF314" s="41" t="n">
        <v>0</v>
      </c>
      <c r="AG314" s="41"/>
      <c r="AH314" s="41"/>
      <c r="AI314" s="41" t="s">
        <v>284</v>
      </c>
      <c r="AJ314" s="42" t="n">
        <v>0</v>
      </c>
      <c r="AK314" s="42"/>
      <c r="AL314" s="42"/>
      <c r="AM314" s="42" t="s">
        <v>284</v>
      </c>
      <c r="AN314" s="42" t="n">
        <v>0</v>
      </c>
      <c r="AO314" s="42"/>
      <c r="AP314" s="42" t="n">
        <v>2</v>
      </c>
      <c r="AQ314" s="42" t="s">
        <v>883</v>
      </c>
      <c r="AR314" s="42" t="n">
        <v>1</v>
      </c>
      <c r="AS314" s="42"/>
      <c r="AT314" s="42" t="s">
        <v>883</v>
      </c>
      <c r="AU314" s="42" t="n">
        <v>1</v>
      </c>
      <c r="AV314" s="42"/>
      <c r="AW314" s="42"/>
      <c r="AX314" s="42" t="n">
        <v>2</v>
      </c>
      <c r="AY314" s="42" t="n">
        <v>0</v>
      </c>
      <c r="AZ314" s="42" t="s">
        <v>284</v>
      </c>
    </row>
    <row r="315" customFormat="false" ht="15" hidden="false" customHeight="false" outlineLevel="0" collapsed="false">
      <c r="A315" s="34" t="s">
        <v>896</v>
      </c>
      <c r="B315" s="35" t="s">
        <v>897</v>
      </c>
      <c r="C315" s="36" t="s">
        <v>898</v>
      </c>
      <c r="D315" s="37" t="s">
        <v>899</v>
      </c>
      <c r="E315" s="38" t="s">
        <v>14</v>
      </c>
      <c r="F315" s="39" t="n">
        <f aca="false">F316/0.5</f>
        <v>7</v>
      </c>
      <c r="G315" s="40" t="n">
        <v>6.8</v>
      </c>
      <c r="H315" s="40" t="n">
        <v>0</v>
      </c>
      <c r="I315" s="40" t="n">
        <f aca="false">SUM(G315:H315)</f>
        <v>6.8</v>
      </c>
      <c r="J315" s="40" t="n">
        <f aca="false">G315*F315</f>
        <v>47.6</v>
      </c>
      <c r="K315" s="40" t="n">
        <f aca="false">H315*F315</f>
        <v>0</v>
      </c>
      <c r="L315" s="40" t="n">
        <f aca="false">SUM(J315:K315)</f>
        <v>47.6</v>
      </c>
      <c r="M315" s="40" t="n">
        <f aca="false">ROUND(L315*(1+$M$4),2)</f>
        <v>59.99</v>
      </c>
      <c r="N315" s="41" t="n">
        <v>0</v>
      </c>
      <c r="O315" s="41" t="s">
        <v>284</v>
      </c>
      <c r="P315" s="41" t="n">
        <v>0</v>
      </c>
      <c r="Q315" s="41"/>
      <c r="R315" s="41" t="n">
        <v>0</v>
      </c>
      <c r="S315" s="41" t="s">
        <v>284</v>
      </c>
      <c r="T315" s="41" t="n">
        <v>0</v>
      </c>
      <c r="U315" s="41"/>
      <c r="V315" s="41"/>
      <c r="W315" s="41" t="s">
        <v>284</v>
      </c>
      <c r="X315" s="41" t="n">
        <v>0</v>
      </c>
      <c r="Y315" s="41"/>
      <c r="Z315" s="41"/>
      <c r="AA315" s="41" t="s">
        <v>284</v>
      </c>
      <c r="AB315" s="41" t="n">
        <v>0</v>
      </c>
      <c r="AC315" s="41"/>
      <c r="AD315" s="41"/>
      <c r="AE315" s="41" t="s">
        <v>284</v>
      </c>
      <c r="AF315" s="41" t="n">
        <v>0</v>
      </c>
      <c r="AG315" s="41"/>
      <c r="AH315" s="41"/>
      <c r="AI315" s="41" t="s">
        <v>284</v>
      </c>
      <c r="AJ315" s="42" t="n">
        <v>0</v>
      </c>
      <c r="AK315" s="42"/>
      <c r="AL315" s="42"/>
      <c r="AM315" s="42" t="s">
        <v>284</v>
      </c>
      <c r="AN315" s="42" t="n">
        <v>0</v>
      </c>
      <c r="AO315" s="42"/>
      <c r="AP315" s="42" t="n">
        <v>4</v>
      </c>
      <c r="AQ315" s="42" t="s">
        <v>855</v>
      </c>
      <c r="AR315" s="42" t="n">
        <v>1</v>
      </c>
      <c r="AS315" s="42"/>
      <c r="AT315" s="42" t="s">
        <v>855</v>
      </c>
      <c r="AU315" s="42" t="n">
        <v>1</v>
      </c>
      <c r="AV315" s="42"/>
      <c r="AW315" s="42"/>
      <c r="AX315" s="42" t="n">
        <v>4</v>
      </c>
      <c r="AY315" s="42" t="n">
        <v>0</v>
      </c>
      <c r="AZ315" s="42" t="s">
        <v>284</v>
      </c>
    </row>
    <row r="316" customFormat="false" ht="15" hidden="false" customHeight="false" outlineLevel="0" collapsed="false">
      <c r="A316" s="34" t="s">
        <v>900</v>
      </c>
      <c r="B316" s="35" t="s">
        <v>901</v>
      </c>
      <c r="C316" s="36" t="s">
        <v>902</v>
      </c>
      <c r="D316" s="37" t="s">
        <v>903</v>
      </c>
      <c r="E316" s="38" t="s">
        <v>396</v>
      </c>
      <c r="F316" s="39" t="n">
        <v>3.5</v>
      </c>
      <c r="G316" s="40" t="n">
        <v>18.45</v>
      </c>
      <c r="H316" s="40" t="n">
        <v>0</v>
      </c>
      <c r="I316" s="40" t="n">
        <f aca="false">SUM(G316:H316)</f>
        <v>18.45</v>
      </c>
      <c r="J316" s="40" t="n">
        <f aca="false">G316*F316</f>
        <v>64.575</v>
      </c>
      <c r="K316" s="40" t="n">
        <f aca="false">H316*F316</f>
        <v>0</v>
      </c>
      <c r="L316" s="40" t="n">
        <f aca="false">SUM(J316:K316)</f>
        <v>64.575</v>
      </c>
      <c r="M316" s="40" t="n">
        <f aca="false">ROUND(L316*(1+$M$4),2)</f>
        <v>81.38</v>
      </c>
      <c r="N316" s="41" t="n">
        <v>0</v>
      </c>
      <c r="O316" s="41" t="s">
        <v>284</v>
      </c>
      <c r="P316" s="41" t="n">
        <v>0</v>
      </c>
      <c r="Q316" s="41"/>
      <c r="R316" s="41" t="n">
        <v>0</v>
      </c>
      <c r="S316" s="41" t="s">
        <v>284</v>
      </c>
      <c r="T316" s="41" t="n">
        <v>0</v>
      </c>
      <c r="U316" s="41"/>
      <c r="V316" s="41"/>
      <c r="W316" s="41" t="s">
        <v>284</v>
      </c>
      <c r="X316" s="41" t="n">
        <v>0</v>
      </c>
      <c r="Y316" s="41"/>
      <c r="Z316" s="41"/>
      <c r="AA316" s="41" t="s">
        <v>284</v>
      </c>
      <c r="AB316" s="41" t="n">
        <v>0</v>
      </c>
      <c r="AC316" s="41"/>
      <c r="AD316" s="41"/>
      <c r="AE316" s="41" t="s">
        <v>284</v>
      </c>
      <c r="AF316" s="41" t="n">
        <v>0</v>
      </c>
      <c r="AG316" s="41"/>
      <c r="AH316" s="41"/>
      <c r="AI316" s="41" t="s">
        <v>284</v>
      </c>
      <c r="AJ316" s="42" t="n">
        <v>0</v>
      </c>
      <c r="AK316" s="42"/>
      <c r="AL316" s="42"/>
      <c r="AM316" s="42" t="s">
        <v>284</v>
      </c>
      <c r="AN316" s="42" t="n">
        <v>0</v>
      </c>
      <c r="AO316" s="42"/>
      <c r="AP316" s="42" t="n">
        <v>3</v>
      </c>
      <c r="AQ316" s="42" t="s">
        <v>859</v>
      </c>
      <c r="AR316" s="42" t="n">
        <v>1</v>
      </c>
      <c r="AS316" s="42"/>
      <c r="AT316" s="42" t="s">
        <v>859</v>
      </c>
      <c r="AU316" s="42" t="n">
        <v>1</v>
      </c>
      <c r="AV316" s="42"/>
      <c r="AW316" s="42"/>
      <c r="AX316" s="42" t="n">
        <v>3</v>
      </c>
      <c r="AY316" s="42" t="n">
        <v>0</v>
      </c>
      <c r="AZ316" s="42" t="s">
        <v>284</v>
      </c>
    </row>
    <row r="317" customFormat="false" ht="15" hidden="false" customHeight="true" outlineLevel="0" collapsed="false">
      <c r="A317" s="60" t="s">
        <v>904</v>
      </c>
      <c r="B317" s="61" t="s">
        <v>905</v>
      </c>
      <c r="C317" s="61"/>
      <c r="D317" s="62"/>
      <c r="E317" s="62"/>
      <c r="F317" s="63"/>
      <c r="G317" s="64"/>
      <c r="H317" s="64"/>
      <c r="I317" s="64"/>
      <c r="J317" s="87" t="n">
        <f aca="false">SUM(J318:J324)</f>
        <v>8084.6346</v>
      </c>
      <c r="K317" s="87" t="n">
        <f aca="false">SUM(K318:K324)</f>
        <v>982.2196</v>
      </c>
      <c r="L317" s="87" t="n">
        <f aca="false">SUM(L318:L324)</f>
        <v>9066.8542</v>
      </c>
      <c r="M317" s="87" t="n">
        <f aca="false">SUM(M318:M324)</f>
        <v>11426.05</v>
      </c>
      <c r="N317" s="88" t="n">
        <f aca="false">M317</f>
        <v>11426.05</v>
      </c>
      <c r="O317" s="89"/>
      <c r="P317" s="89"/>
      <c r="Q317" s="89"/>
      <c r="R317" s="89"/>
      <c r="S317" s="89"/>
      <c r="T317" s="89"/>
      <c r="U317" s="89"/>
      <c r="V317" s="89"/>
      <c r="W317" s="89"/>
      <c r="X317" s="89"/>
      <c r="Y317" s="89"/>
      <c r="Z317" s="89"/>
      <c r="AA317" s="89"/>
      <c r="AB317" s="89"/>
      <c r="AC317" s="89"/>
      <c r="AD317" s="89"/>
      <c r="AE317" s="89"/>
      <c r="AF317" s="89"/>
      <c r="AG317" s="89"/>
      <c r="AH317" s="89"/>
      <c r="AI317" s="89"/>
      <c r="AJ317" s="89"/>
      <c r="AK317" s="89"/>
      <c r="AL317" s="89"/>
      <c r="AM317" s="89"/>
      <c r="AN317" s="89"/>
      <c r="AO317" s="89"/>
      <c r="AP317" s="89"/>
      <c r="AQ317" s="89"/>
      <c r="AR317" s="89"/>
      <c r="AS317" s="89"/>
      <c r="AT317" s="89"/>
      <c r="AU317" s="89"/>
      <c r="AV317" s="89"/>
      <c r="AW317" s="89"/>
      <c r="AX317" s="89"/>
      <c r="AY317" s="89"/>
      <c r="AZ317" s="89"/>
    </row>
    <row r="318" customFormat="false" ht="15" hidden="false" customHeight="false" outlineLevel="0" collapsed="false">
      <c r="A318" s="34" t="s">
        <v>906</v>
      </c>
      <c r="B318" s="35" t="s">
        <v>907</v>
      </c>
      <c r="C318" s="36" t="s">
        <v>647</v>
      </c>
      <c r="D318" s="37" t="s">
        <v>709</v>
      </c>
      <c r="E318" s="38" t="s">
        <v>32</v>
      </c>
      <c r="F318" s="39" t="n">
        <f aca="false">0.2*0.7*12</f>
        <v>1.68</v>
      </c>
      <c r="G318" s="40" t="n">
        <v>25.77</v>
      </c>
      <c r="H318" s="40" t="n">
        <v>58.76</v>
      </c>
      <c r="I318" s="40" t="n">
        <f aca="false">G318+H318</f>
        <v>84.53</v>
      </c>
      <c r="J318" s="40" t="n">
        <f aca="false">G318*F318</f>
        <v>43.2936</v>
      </c>
      <c r="K318" s="40" t="n">
        <f aca="false">H318*F318</f>
        <v>98.7168</v>
      </c>
      <c r="L318" s="40" t="n">
        <f aca="false">J318+K318</f>
        <v>142.0104</v>
      </c>
      <c r="M318" s="40" t="n">
        <f aca="false">ROUND(L318*(1+$M$4),2)</f>
        <v>178.96</v>
      </c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F318" s="41"/>
      <c r="AG318" s="41"/>
      <c r="AH318" s="41"/>
      <c r="AI318" s="41"/>
      <c r="AJ318" s="42"/>
      <c r="AK318" s="42"/>
      <c r="AL318" s="42"/>
      <c r="AM318" s="42"/>
      <c r="AN318" s="42"/>
      <c r="AO318" s="42"/>
      <c r="AP318" s="42"/>
      <c r="AQ318" s="42"/>
      <c r="AR318" s="42"/>
      <c r="AS318" s="42"/>
      <c r="AT318" s="42"/>
      <c r="AU318" s="42"/>
      <c r="AV318" s="42"/>
      <c r="AW318" s="42"/>
      <c r="AX318" s="42"/>
      <c r="AY318" s="42"/>
      <c r="AZ318" s="42"/>
    </row>
    <row r="319" customFormat="false" ht="15" hidden="false" customHeight="false" outlineLevel="0" collapsed="false">
      <c r="A319" s="34" t="s">
        <v>908</v>
      </c>
      <c r="B319" s="35" t="s">
        <v>909</v>
      </c>
      <c r="C319" s="36" t="s">
        <v>910</v>
      </c>
      <c r="D319" s="37" t="s">
        <v>911</v>
      </c>
      <c r="E319" s="38" t="s">
        <v>32</v>
      </c>
      <c r="F319" s="39" t="n">
        <v>1.68</v>
      </c>
      <c r="G319" s="40" t="n">
        <v>337.93</v>
      </c>
      <c r="H319" s="40" t="n">
        <v>61.97</v>
      </c>
      <c r="I319" s="40" t="n">
        <f aca="false">G319+H319</f>
        <v>399.9</v>
      </c>
      <c r="J319" s="40" t="n">
        <f aca="false">G319*F319</f>
        <v>567.7224</v>
      </c>
      <c r="K319" s="40" t="n">
        <f aca="false">H319*F319</f>
        <v>104.1096</v>
      </c>
      <c r="L319" s="40" t="n">
        <f aca="false">J319+K319</f>
        <v>671.832</v>
      </c>
      <c r="M319" s="40" t="n">
        <f aca="false">ROUND(L319*(1+$M$4),2)</f>
        <v>846.64</v>
      </c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F319" s="41"/>
      <c r="AG319" s="41"/>
      <c r="AH319" s="41"/>
      <c r="AI319" s="41"/>
      <c r="AJ319" s="42"/>
      <c r="AK319" s="42"/>
      <c r="AL319" s="42"/>
      <c r="AM319" s="42"/>
      <c r="AN319" s="42"/>
      <c r="AO319" s="42"/>
      <c r="AP319" s="42"/>
      <c r="AQ319" s="42"/>
      <c r="AR319" s="42"/>
      <c r="AS319" s="42"/>
      <c r="AT319" s="42"/>
      <c r="AU319" s="42"/>
      <c r="AV319" s="42"/>
      <c r="AW319" s="42"/>
      <c r="AX319" s="42"/>
      <c r="AY319" s="42"/>
      <c r="AZ319" s="42"/>
    </row>
    <row r="320" customFormat="false" ht="15" hidden="false" customHeight="false" outlineLevel="0" collapsed="false">
      <c r="A320" s="34" t="s">
        <v>912</v>
      </c>
      <c r="B320" s="35" t="s">
        <v>913</v>
      </c>
      <c r="C320" s="36" t="s">
        <v>914</v>
      </c>
      <c r="D320" s="37" t="s">
        <v>915</v>
      </c>
      <c r="E320" s="38" t="s">
        <v>396</v>
      </c>
      <c r="F320" s="39" t="n">
        <f aca="false">12*3</f>
        <v>36</v>
      </c>
      <c r="G320" s="40" t="n">
        <v>95.15</v>
      </c>
      <c r="H320" s="40" t="n">
        <v>14.77</v>
      </c>
      <c r="I320" s="40" t="n">
        <f aca="false">G320+H320</f>
        <v>109.92</v>
      </c>
      <c r="J320" s="40" t="n">
        <f aca="false">G320*F320</f>
        <v>3425.4</v>
      </c>
      <c r="K320" s="40" t="n">
        <f aca="false">H320*F320</f>
        <v>531.72</v>
      </c>
      <c r="L320" s="40" t="n">
        <f aca="false">J320+K320</f>
        <v>3957.12</v>
      </c>
      <c r="M320" s="40" t="n">
        <f aca="false">ROUND(L320*(1+$M$4),2)</f>
        <v>4986.76</v>
      </c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F320" s="41"/>
      <c r="AG320" s="41"/>
      <c r="AH320" s="41"/>
      <c r="AI320" s="41"/>
      <c r="AJ320" s="42"/>
      <c r="AK320" s="42"/>
      <c r="AL320" s="42"/>
      <c r="AM320" s="42"/>
      <c r="AN320" s="42"/>
      <c r="AO320" s="42"/>
      <c r="AP320" s="42"/>
      <c r="AQ320" s="42"/>
      <c r="AR320" s="42"/>
      <c r="AS320" s="42"/>
      <c r="AT320" s="42"/>
      <c r="AU320" s="42"/>
      <c r="AV320" s="42"/>
      <c r="AW320" s="42"/>
      <c r="AX320" s="42"/>
      <c r="AY320" s="42"/>
      <c r="AZ320" s="42"/>
    </row>
    <row r="321" customFormat="false" ht="15" hidden="false" customHeight="false" outlineLevel="0" collapsed="false">
      <c r="A321" s="34" t="s">
        <v>916</v>
      </c>
      <c r="B321" s="35" t="s">
        <v>917</v>
      </c>
      <c r="C321" s="36" t="s">
        <v>918</v>
      </c>
      <c r="D321" s="37" t="s">
        <v>919</v>
      </c>
      <c r="E321" s="38" t="s">
        <v>920</v>
      </c>
      <c r="F321" s="39" t="n">
        <v>89</v>
      </c>
      <c r="G321" s="40" t="n">
        <v>12.81</v>
      </c>
      <c r="H321" s="40" t="n">
        <v>1.51</v>
      </c>
      <c r="I321" s="40" t="n">
        <f aca="false">G321+H321</f>
        <v>14.32</v>
      </c>
      <c r="J321" s="40" t="n">
        <f aca="false">G321*F321</f>
        <v>1140.09</v>
      </c>
      <c r="K321" s="40" t="n">
        <f aca="false">H321*F321</f>
        <v>134.39</v>
      </c>
      <c r="L321" s="40" t="n">
        <f aca="false">J321+K321</f>
        <v>1274.48</v>
      </c>
      <c r="M321" s="40" t="n">
        <f aca="false">ROUND(L321*(1+$M$4),2)</f>
        <v>1606.1</v>
      </c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F321" s="41"/>
      <c r="AG321" s="41"/>
      <c r="AH321" s="41"/>
      <c r="AI321" s="41"/>
      <c r="AJ321" s="42"/>
      <c r="AK321" s="42"/>
      <c r="AL321" s="42"/>
      <c r="AM321" s="42"/>
      <c r="AN321" s="42"/>
      <c r="AO321" s="42"/>
      <c r="AP321" s="42"/>
      <c r="AQ321" s="42"/>
      <c r="AR321" s="42"/>
      <c r="AS321" s="42"/>
      <c r="AT321" s="42"/>
      <c r="AU321" s="42"/>
      <c r="AV321" s="42"/>
      <c r="AW321" s="42"/>
      <c r="AX321" s="42"/>
      <c r="AY321" s="42"/>
      <c r="AZ321" s="42"/>
    </row>
    <row r="322" customFormat="false" ht="15" hidden="false" customHeight="false" outlineLevel="0" collapsed="false">
      <c r="A322" s="34" t="s">
        <v>921</v>
      </c>
      <c r="B322" s="35" t="s">
        <v>922</v>
      </c>
      <c r="C322" s="36" t="s">
        <v>923</v>
      </c>
      <c r="D322" s="37" t="s">
        <v>924</v>
      </c>
      <c r="E322" s="38" t="s">
        <v>37</v>
      </c>
      <c r="F322" s="39" t="n">
        <v>29.26</v>
      </c>
      <c r="G322" s="40" t="n">
        <v>90.11</v>
      </c>
      <c r="H322" s="40" t="n">
        <v>3.32</v>
      </c>
      <c r="I322" s="40" t="n">
        <f aca="false">G322+H322</f>
        <v>93.43</v>
      </c>
      <c r="J322" s="40" t="n">
        <f aca="false">G322*F322</f>
        <v>2636.6186</v>
      </c>
      <c r="K322" s="40" t="n">
        <f aca="false">H322*F322</f>
        <v>97.1432</v>
      </c>
      <c r="L322" s="40" t="n">
        <f aca="false">J322+K322</f>
        <v>2733.7618</v>
      </c>
      <c r="M322" s="40" t="n">
        <f aca="false">ROUND(L322*(1+$M$4),2)</f>
        <v>3445.09</v>
      </c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F322" s="41"/>
      <c r="AG322" s="41"/>
      <c r="AH322" s="41"/>
      <c r="AI322" s="41"/>
      <c r="AJ322" s="42"/>
      <c r="AK322" s="42"/>
      <c r="AL322" s="42"/>
      <c r="AM322" s="42"/>
      <c r="AN322" s="42"/>
      <c r="AO322" s="42"/>
      <c r="AP322" s="42"/>
      <c r="AQ322" s="42"/>
      <c r="AR322" s="42"/>
      <c r="AS322" s="42"/>
      <c r="AT322" s="42"/>
      <c r="AU322" s="42"/>
      <c r="AV322" s="42"/>
      <c r="AW322" s="42"/>
      <c r="AX322" s="42"/>
      <c r="AY322" s="42"/>
      <c r="AZ322" s="42"/>
    </row>
    <row r="323" customFormat="false" ht="15" hidden="false" customHeight="false" outlineLevel="0" collapsed="false">
      <c r="A323" s="34" t="s">
        <v>925</v>
      </c>
      <c r="B323" s="35" t="s">
        <v>926</v>
      </c>
      <c r="C323" s="36" t="n">
        <v>100723</v>
      </c>
      <c r="D323" s="37" t="s">
        <v>927</v>
      </c>
      <c r="E323" s="38" t="s">
        <v>37</v>
      </c>
      <c r="F323" s="39" t="n">
        <v>8</v>
      </c>
      <c r="G323" s="40" t="n">
        <v>9.47</v>
      </c>
      <c r="H323" s="40" t="n">
        <v>1.32</v>
      </c>
      <c r="I323" s="40" t="n">
        <f aca="false">G323+H323</f>
        <v>10.79</v>
      </c>
      <c r="J323" s="40" t="n">
        <f aca="false">G323*F323</f>
        <v>75.76</v>
      </c>
      <c r="K323" s="40" t="n">
        <f aca="false">H323*F323</f>
        <v>10.56</v>
      </c>
      <c r="L323" s="40" t="n">
        <f aca="false">J323+K323</f>
        <v>86.32</v>
      </c>
      <c r="M323" s="40" t="n">
        <f aca="false">ROUND(L323*(1+$M$4),2)</f>
        <v>108.78</v>
      </c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F323" s="41"/>
      <c r="AG323" s="41"/>
      <c r="AH323" s="41"/>
      <c r="AI323" s="41"/>
      <c r="AJ323" s="42"/>
      <c r="AK323" s="42"/>
      <c r="AL323" s="42"/>
      <c r="AM323" s="42"/>
      <c r="AN323" s="42"/>
      <c r="AO323" s="42"/>
      <c r="AP323" s="42"/>
      <c r="AQ323" s="42"/>
      <c r="AR323" s="42"/>
      <c r="AS323" s="42"/>
      <c r="AT323" s="42"/>
      <c r="AU323" s="42"/>
      <c r="AV323" s="42"/>
      <c r="AW323" s="42"/>
      <c r="AX323" s="42"/>
      <c r="AY323" s="42"/>
      <c r="AZ323" s="42"/>
    </row>
    <row r="324" customFormat="false" ht="15" hidden="false" customHeight="false" outlineLevel="0" collapsed="false">
      <c r="A324" s="34" t="s">
        <v>928</v>
      </c>
      <c r="B324" s="35" t="s">
        <v>929</v>
      </c>
      <c r="C324" s="36" t="s">
        <v>930</v>
      </c>
      <c r="D324" s="37" t="s">
        <v>931</v>
      </c>
      <c r="E324" s="38" t="s">
        <v>396</v>
      </c>
      <c r="F324" s="39" t="n">
        <v>9</v>
      </c>
      <c r="G324" s="40" t="n">
        <v>21.75</v>
      </c>
      <c r="H324" s="40" t="n">
        <v>0.62</v>
      </c>
      <c r="I324" s="40" t="n">
        <f aca="false">G324+H324</f>
        <v>22.37</v>
      </c>
      <c r="J324" s="40" t="n">
        <f aca="false">G324*F324</f>
        <v>195.75</v>
      </c>
      <c r="K324" s="40" t="n">
        <f aca="false">H324*F324</f>
        <v>5.58</v>
      </c>
      <c r="L324" s="40" t="n">
        <f aca="false">J324+K324</f>
        <v>201.33</v>
      </c>
      <c r="M324" s="40" t="n">
        <f aca="false">ROUND(L324*(1+$M$4),2)</f>
        <v>253.72</v>
      </c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F324" s="41"/>
      <c r="AG324" s="41"/>
      <c r="AH324" s="41"/>
      <c r="AI324" s="41"/>
      <c r="AJ324" s="42"/>
      <c r="AK324" s="42"/>
      <c r="AL324" s="42"/>
      <c r="AM324" s="42"/>
      <c r="AN324" s="42"/>
      <c r="AO324" s="42"/>
      <c r="AP324" s="42"/>
      <c r="AQ324" s="42"/>
      <c r="AR324" s="42"/>
      <c r="AS324" s="42"/>
      <c r="AT324" s="42"/>
      <c r="AU324" s="42"/>
      <c r="AV324" s="42"/>
      <c r="AW324" s="42"/>
      <c r="AX324" s="42"/>
      <c r="AY324" s="42"/>
      <c r="AZ324" s="42"/>
    </row>
    <row r="325" customFormat="false" ht="15" hidden="false" customHeight="true" outlineLevel="0" collapsed="false">
      <c r="A325" s="60" t="s">
        <v>932</v>
      </c>
      <c r="B325" s="61" t="s">
        <v>933</v>
      </c>
      <c r="C325" s="61"/>
      <c r="D325" s="62"/>
      <c r="E325" s="62"/>
      <c r="F325" s="63"/>
      <c r="G325" s="64"/>
      <c r="H325" s="64"/>
      <c r="I325" s="64"/>
      <c r="J325" s="87" t="n">
        <f aca="false">SUM(J326:J330)</f>
        <v>908.04</v>
      </c>
      <c r="K325" s="87" t="n">
        <f aca="false">SUM(K326:K330)</f>
        <v>217.94</v>
      </c>
      <c r="L325" s="87" t="n">
        <f aca="false">SUM(L326:L330)</f>
        <v>1125.98</v>
      </c>
      <c r="M325" s="87" t="n">
        <f aca="false">SUM(M326:M330)</f>
        <v>1418.96</v>
      </c>
      <c r="N325" s="88" t="n">
        <f aca="false">M325</f>
        <v>1418.96</v>
      </c>
      <c r="O325" s="89"/>
      <c r="P325" s="89"/>
      <c r="Q325" s="89"/>
      <c r="R325" s="89"/>
      <c r="S325" s="89"/>
      <c r="T325" s="89"/>
      <c r="U325" s="89"/>
      <c r="V325" s="89"/>
      <c r="W325" s="89"/>
      <c r="X325" s="89"/>
      <c r="Y325" s="89"/>
      <c r="Z325" s="89"/>
      <c r="AA325" s="89"/>
      <c r="AB325" s="89"/>
      <c r="AC325" s="89"/>
      <c r="AD325" s="89"/>
      <c r="AE325" s="89"/>
      <c r="AF325" s="89"/>
      <c r="AG325" s="89"/>
      <c r="AH325" s="89"/>
      <c r="AI325" s="89"/>
      <c r="AJ325" s="89"/>
      <c r="AK325" s="89"/>
      <c r="AL325" s="89"/>
      <c r="AM325" s="89"/>
      <c r="AN325" s="89"/>
      <c r="AO325" s="89"/>
      <c r="AP325" s="89"/>
      <c r="AQ325" s="89"/>
      <c r="AR325" s="89"/>
      <c r="AS325" s="89"/>
      <c r="AT325" s="89"/>
      <c r="AU325" s="89"/>
      <c r="AV325" s="89"/>
      <c r="AW325" s="89"/>
      <c r="AX325" s="89"/>
      <c r="AY325" s="89"/>
      <c r="AZ325" s="89"/>
    </row>
    <row r="326" customFormat="false" ht="15" hidden="false" customHeight="false" outlineLevel="0" collapsed="false">
      <c r="A326" s="34" t="s">
        <v>934</v>
      </c>
      <c r="B326" s="35" t="s">
        <v>935</v>
      </c>
      <c r="C326" s="36" t="s">
        <v>936</v>
      </c>
      <c r="D326" s="37" t="s">
        <v>937</v>
      </c>
      <c r="E326" s="38" t="s">
        <v>93</v>
      </c>
      <c r="F326" s="39" t="n">
        <v>2</v>
      </c>
      <c r="G326" s="40" t="n">
        <v>174.68</v>
      </c>
      <c r="H326" s="40" t="n">
        <v>16.91</v>
      </c>
      <c r="I326" s="40" t="n">
        <f aca="false">G326+H326</f>
        <v>191.59</v>
      </c>
      <c r="J326" s="40" t="n">
        <f aca="false">G326*F326</f>
        <v>349.36</v>
      </c>
      <c r="K326" s="40" t="n">
        <f aca="false">H326*F326</f>
        <v>33.82</v>
      </c>
      <c r="L326" s="40" t="n">
        <f aca="false">J326+K326</f>
        <v>383.18</v>
      </c>
      <c r="M326" s="40" t="n">
        <f aca="false">ROUND(L326*(1+$M$4),2)</f>
        <v>482.88</v>
      </c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F326" s="41"/>
      <c r="AG326" s="41"/>
      <c r="AH326" s="41"/>
      <c r="AI326" s="41"/>
      <c r="AJ326" s="42"/>
      <c r="AK326" s="42"/>
      <c r="AL326" s="42"/>
      <c r="AM326" s="42"/>
      <c r="AN326" s="42"/>
      <c r="AO326" s="42"/>
      <c r="AP326" s="42"/>
      <c r="AQ326" s="42"/>
      <c r="AR326" s="42"/>
      <c r="AS326" s="42"/>
      <c r="AT326" s="42"/>
      <c r="AU326" s="42"/>
      <c r="AV326" s="42"/>
      <c r="AW326" s="42"/>
      <c r="AX326" s="42"/>
      <c r="AY326" s="42"/>
      <c r="AZ326" s="42"/>
    </row>
    <row r="327" customFormat="false" ht="15" hidden="false" customHeight="false" outlineLevel="0" collapsed="false">
      <c r="A327" s="34" t="s">
        <v>938</v>
      </c>
      <c r="B327" s="35" t="s">
        <v>939</v>
      </c>
      <c r="C327" s="36" t="s">
        <v>940</v>
      </c>
      <c r="D327" s="37" t="s">
        <v>941</v>
      </c>
      <c r="E327" s="38" t="s">
        <v>93</v>
      </c>
      <c r="F327" s="39" t="n">
        <v>2</v>
      </c>
      <c r="G327" s="40" t="n">
        <v>169.14</v>
      </c>
      <c r="H327" s="40" t="n">
        <v>16.91</v>
      </c>
      <c r="I327" s="40" t="n">
        <f aca="false">G327+H327</f>
        <v>186.05</v>
      </c>
      <c r="J327" s="40" t="n">
        <f aca="false">G327*F327</f>
        <v>338.28</v>
      </c>
      <c r="K327" s="40" t="n">
        <f aca="false">H327*F327</f>
        <v>33.82</v>
      </c>
      <c r="L327" s="40" t="n">
        <f aca="false">J327+K327</f>
        <v>372.1</v>
      </c>
      <c r="M327" s="40" t="n">
        <f aca="false">ROUND(L327*(1+$M$4),2)</f>
        <v>468.92</v>
      </c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F327" s="41"/>
      <c r="AG327" s="41"/>
      <c r="AH327" s="41"/>
      <c r="AI327" s="41"/>
      <c r="AJ327" s="42"/>
      <c r="AK327" s="42"/>
      <c r="AL327" s="42"/>
      <c r="AM327" s="42"/>
      <c r="AN327" s="42"/>
      <c r="AO327" s="42"/>
      <c r="AP327" s="42"/>
      <c r="AQ327" s="42"/>
      <c r="AR327" s="42"/>
      <c r="AS327" s="42"/>
      <c r="AT327" s="42"/>
      <c r="AU327" s="42"/>
      <c r="AV327" s="42"/>
      <c r="AW327" s="42"/>
      <c r="AX327" s="42"/>
      <c r="AY327" s="42"/>
      <c r="AZ327" s="42"/>
    </row>
    <row r="328" customFormat="false" ht="15" hidden="false" customHeight="false" outlineLevel="0" collapsed="false">
      <c r="A328" s="34" t="s">
        <v>942</v>
      </c>
      <c r="B328" s="35" t="s">
        <v>943</v>
      </c>
      <c r="C328" s="36" t="s">
        <v>944</v>
      </c>
      <c r="D328" s="37" t="s">
        <v>945</v>
      </c>
      <c r="E328" s="38" t="s">
        <v>93</v>
      </c>
      <c r="F328" s="39" t="n">
        <v>2</v>
      </c>
      <c r="G328" s="40" t="n">
        <v>0</v>
      </c>
      <c r="H328" s="40" t="n">
        <v>11</v>
      </c>
      <c r="I328" s="40" t="n">
        <f aca="false">G328+H328</f>
        <v>11</v>
      </c>
      <c r="J328" s="40" t="n">
        <f aca="false">G328*F328</f>
        <v>0</v>
      </c>
      <c r="K328" s="40" t="n">
        <f aca="false">H328*F328</f>
        <v>22</v>
      </c>
      <c r="L328" s="40" t="n">
        <f aca="false">J328+K328</f>
        <v>22</v>
      </c>
      <c r="M328" s="40" t="n">
        <f aca="false">ROUND(L328*(1+$M$4),2)</f>
        <v>27.72</v>
      </c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F328" s="41"/>
      <c r="AG328" s="41"/>
      <c r="AH328" s="41"/>
      <c r="AI328" s="41"/>
      <c r="AJ328" s="42"/>
      <c r="AK328" s="42"/>
      <c r="AL328" s="42"/>
      <c r="AM328" s="42"/>
      <c r="AN328" s="42"/>
      <c r="AO328" s="42"/>
      <c r="AP328" s="42"/>
      <c r="AQ328" s="42"/>
      <c r="AR328" s="42"/>
      <c r="AS328" s="42"/>
      <c r="AT328" s="42"/>
      <c r="AU328" s="42"/>
      <c r="AV328" s="42"/>
      <c r="AW328" s="42"/>
      <c r="AX328" s="42"/>
      <c r="AY328" s="42"/>
      <c r="AZ328" s="42"/>
    </row>
    <row r="329" customFormat="false" ht="15" hidden="false" customHeight="false" outlineLevel="0" collapsed="false">
      <c r="A329" s="34" t="s">
        <v>946</v>
      </c>
      <c r="B329" s="35" t="s">
        <v>947</v>
      </c>
      <c r="C329" s="36" t="s">
        <v>948</v>
      </c>
      <c r="D329" s="37" t="s">
        <v>949</v>
      </c>
      <c r="E329" s="38" t="s">
        <v>93</v>
      </c>
      <c r="F329" s="39" t="n">
        <v>5</v>
      </c>
      <c r="G329" s="40" t="n">
        <v>0</v>
      </c>
      <c r="H329" s="40" t="n">
        <v>15.6</v>
      </c>
      <c r="I329" s="40" t="n">
        <f aca="false">G329+H329</f>
        <v>15.6</v>
      </c>
      <c r="J329" s="40" t="n">
        <f aca="false">G329*F329</f>
        <v>0</v>
      </c>
      <c r="K329" s="40" t="n">
        <f aca="false">H329*F329</f>
        <v>78</v>
      </c>
      <c r="L329" s="40" t="n">
        <f aca="false">J329+K329</f>
        <v>78</v>
      </c>
      <c r="M329" s="40" t="n">
        <f aca="false">ROUND(L329*(1+$M$4),2)</f>
        <v>98.3</v>
      </c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F329" s="41"/>
      <c r="AG329" s="41"/>
      <c r="AH329" s="41"/>
      <c r="AI329" s="41"/>
      <c r="AJ329" s="42"/>
      <c r="AK329" s="42"/>
      <c r="AL329" s="42"/>
      <c r="AM329" s="42"/>
      <c r="AN329" s="42"/>
      <c r="AO329" s="42"/>
      <c r="AP329" s="42"/>
      <c r="AQ329" s="42"/>
      <c r="AR329" s="42"/>
      <c r="AS329" s="42"/>
      <c r="AT329" s="42"/>
      <c r="AU329" s="42"/>
      <c r="AV329" s="42"/>
      <c r="AW329" s="42"/>
      <c r="AX329" s="42"/>
      <c r="AY329" s="42"/>
      <c r="AZ329" s="42"/>
    </row>
    <row r="330" customFormat="false" ht="15" hidden="false" customHeight="false" outlineLevel="0" collapsed="false">
      <c r="A330" s="34" t="s">
        <v>950</v>
      </c>
      <c r="B330" s="35" t="s">
        <v>951</v>
      </c>
      <c r="C330" s="36" t="s">
        <v>952</v>
      </c>
      <c r="D330" s="37" t="s">
        <v>953</v>
      </c>
      <c r="E330" s="38" t="s">
        <v>93</v>
      </c>
      <c r="F330" s="39" t="n">
        <v>10</v>
      </c>
      <c r="G330" s="40" t="n">
        <v>22.04</v>
      </c>
      <c r="H330" s="40" t="n">
        <v>5.03</v>
      </c>
      <c r="I330" s="40" t="n">
        <f aca="false">G330+H330</f>
        <v>27.07</v>
      </c>
      <c r="J330" s="40" t="n">
        <f aca="false">G330*F330</f>
        <v>220.4</v>
      </c>
      <c r="K330" s="40" t="n">
        <f aca="false">H330*F330</f>
        <v>50.3</v>
      </c>
      <c r="L330" s="40" t="n">
        <f aca="false">J330+K330</f>
        <v>270.7</v>
      </c>
      <c r="M330" s="40" t="n">
        <f aca="false">ROUND(L330*(1+$M$4),2)</f>
        <v>341.14</v>
      </c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F330" s="41"/>
      <c r="AG330" s="41"/>
      <c r="AH330" s="41"/>
      <c r="AI330" s="41"/>
      <c r="AJ330" s="42"/>
      <c r="AK330" s="42"/>
      <c r="AL330" s="42"/>
      <c r="AM330" s="42"/>
      <c r="AN330" s="42"/>
      <c r="AO330" s="42"/>
      <c r="AP330" s="42"/>
      <c r="AQ330" s="42"/>
      <c r="AR330" s="42"/>
      <c r="AS330" s="42"/>
      <c r="AT330" s="42"/>
      <c r="AU330" s="42"/>
      <c r="AV330" s="42"/>
      <c r="AW330" s="42"/>
      <c r="AX330" s="42"/>
      <c r="AY330" s="42"/>
      <c r="AZ330" s="42"/>
    </row>
    <row r="331" customFormat="false" ht="15" hidden="false" customHeight="true" outlineLevel="0" collapsed="false">
      <c r="A331" s="60" t="s">
        <v>954</v>
      </c>
      <c r="B331" s="61" t="s">
        <v>955</v>
      </c>
      <c r="C331" s="61"/>
      <c r="D331" s="62"/>
      <c r="E331" s="62"/>
      <c r="F331" s="63"/>
      <c r="G331" s="64"/>
      <c r="H331" s="64"/>
      <c r="I331" s="64"/>
      <c r="J331" s="87" t="n">
        <f aca="false">SUM(J332:J334)</f>
        <v>1164.5</v>
      </c>
      <c r="K331" s="87" t="n">
        <f aca="false">SUM(K332:K334)</f>
        <v>469.8</v>
      </c>
      <c r="L331" s="87" t="n">
        <f aca="false">SUM(L332:L334)</f>
        <v>1634.3</v>
      </c>
      <c r="M331" s="87" t="n">
        <f aca="false">SUM(M332:M334)</f>
        <v>2059.54</v>
      </c>
      <c r="N331" s="88" t="n">
        <f aca="false">M331</f>
        <v>2059.54</v>
      </c>
      <c r="O331" s="89"/>
      <c r="P331" s="89"/>
      <c r="Q331" s="89"/>
      <c r="R331" s="89"/>
      <c r="S331" s="89"/>
      <c r="T331" s="89"/>
      <c r="U331" s="89"/>
      <c r="V331" s="89"/>
      <c r="W331" s="89"/>
      <c r="X331" s="89"/>
      <c r="Y331" s="89"/>
      <c r="Z331" s="89"/>
      <c r="AA331" s="89"/>
      <c r="AB331" s="89"/>
      <c r="AC331" s="89"/>
      <c r="AD331" s="89"/>
      <c r="AE331" s="89"/>
      <c r="AF331" s="89"/>
      <c r="AG331" s="89"/>
      <c r="AH331" s="89"/>
      <c r="AI331" s="89"/>
      <c r="AJ331" s="89"/>
      <c r="AK331" s="89"/>
      <c r="AL331" s="89"/>
      <c r="AM331" s="89"/>
      <c r="AN331" s="89"/>
      <c r="AO331" s="89"/>
      <c r="AP331" s="89"/>
      <c r="AQ331" s="89"/>
      <c r="AR331" s="89"/>
      <c r="AS331" s="89"/>
      <c r="AT331" s="89"/>
      <c r="AU331" s="89"/>
      <c r="AV331" s="89"/>
      <c r="AW331" s="89"/>
      <c r="AX331" s="89"/>
      <c r="AY331" s="89"/>
      <c r="AZ331" s="89"/>
    </row>
    <row r="332" customFormat="false" ht="15" hidden="false" customHeight="false" outlineLevel="0" collapsed="false">
      <c r="A332" s="34" t="s">
        <v>956</v>
      </c>
      <c r="B332" s="35" t="s">
        <v>957</v>
      </c>
      <c r="C332" s="90" t="s">
        <v>958</v>
      </c>
      <c r="D332" s="37" t="s">
        <v>959</v>
      </c>
      <c r="E332" s="38" t="s">
        <v>37</v>
      </c>
      <c r="F332" s="39" t="n">
        <v>250</v>
      </c>
      <c r="G332" s="40" t="n">
        <v>0.61</v>
      </c>
      <c r="H332" s="40" t="n">
        <v>1.46</v>
      </c>
      <c r="I332" s="40" t="n">
        <f aca="false">G332+H332</f>
        <v>2.07</v>
      </c>
      <c r="J332" s="40" t="n">
        <f aca="false">G332*F332</f>
        <v>152.5</v>
      </c>
      <c r="K332" s="40" t="n">
        <f aca="false">H332*F332</f>
        <v>365</v>
      </c>
      <c r="L332" s="40" t="n">
        <f aca="false">J332+K332</f>
        <v>517.5</v>
      </c>
      <c r="M332" s="40" t="n">
        <f aca="false">ROUND(L332*(1+$M$4),2)</f>
        <v>652.15</v>
      </c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F332" s="41"/>
      <c r="AG332" s="41"/>
      <c r="AH332" s="41"/>
      <c r="AI332" s="41"/>
      <c r="AJ332" s="42"/>
      <c r="AK332" s="42"/>
      <c r="AL332" s="42"/>
      <c r="AM332" s="42"/>
      <c r="AN332" s="42"/>
      <c r="AO332" s="42"/>
      <c r="AP332" s="42"/>
      <c r="AQ332" s="42"/>
      <c r="AR332" s="42"/>
      <c r="AS332" s="42"/>
      <c r="AT332" s="42"/>
      <c r="AU332" s="42"/>
      <c r="AV332" s="42"/>
      <c r="AW332" s="42"/>
      <c r="AX332" s="42"/>
      <c r="AY332" s="42"/>
      <c r="AZ332" s="42"/>
    </row>
    <row r="333" customFormat="false" ht="15" hidden="false" customHeight="false" outlineLevel="0" collapsed="false">
      <c r="A333" s="34" t="s">
        <v>960</v>
      </c>
      <c r="B333" s="35" t="s">
        <v>961</v>
      </c>
      <c r="C333" s="34" t="s">
        <v>962</v>
      </c>
      <c r="D333" s="37" t="s">
        <v>963</v>
      </c>
      <c r="E333" s="38" t="s">
        <v>32</v>
      </c>
      <c r="F333" s="39" t="n">
        <v>80</v>
      </c>
      <c r="G333" s="40" t="n">
        <v>8.05</v>
      </c>
      <c r="H333" s="40" t="n">
        <v>0.95</v>
      </c>
      <c r="I333" s="40" t="n">
        <v>15.41</v>
      </c>
      <c r="J333" s="40" t="n">
        <f aca="false">G333*F333</f>
        <v>644</v>
      </c>
      <c r="K333" s="40" t="n">
        <f aca="false">H333*F333</f>
        <v>76</v>
      </c>
      <c r="L333" s="40" t="n">
        <f aca="false">J333+K333</f>
        <v>720</v>
      </c>
      <c r="M333" s="40" t="n">
        <f aca="false">ROUND(L333*(1+$M$4),2)</f>
        <v>907.34</v>
      </c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F333" s="41"/>
      <c r="AG333" s="41"/>
      <c r="AH333" s="41"/>
      <c r="AI333" s="41"/>
      <c r="AJ333" s="42"/>
      <c r="AK333" s="42"/>
      <c r="AL333" s="42"/>
      <c r="AM333" s="42"/>
      <c r="AN333" s="42"/>
      <c r="AO333" s="42"/>
      <c r="AP333" s="42"/>
      <c r="AQ333" s="42"/>
      <c r="AR333" s="42"/>
      <c r="AS333" s="42"/>
      <c r="AT333" s="42"/>
      <c r="AU333" s="42"/>
      <c r="AV333" s="42"/>
      <c r="AW333" s="42"/>
      <c r="AX333" s="42"/>
      <c r="AY333" s="42"/>
      <c r="AZ333" s="42"/>
    </row>
    <row r="334" customFormat="false" ht="15" hidden="false" customHeight="false" outlineLevel="0" collapsed="false">
      <c r="A334" s="34" t="s">
        <v>964</v>
      </c>
      <c r="B334" s="35" t="s">
        <v>961</v>
      </c>
      <c r="C334" s="34" t="s">
        <v>965</v>
      </c>
      <c r="D334" s="37" t="s">
        <v>966</v>
      </c>
      <c r="E334" s="38" t="s">
        <v>967</v>
      </c>
      <c r="F334" s="39" t="n">
        <v>160</v>
      </c>
      <c r="G334" s="40" t="n">
        <v>2.3</v>
      </c>
      <c r="H334" s="40" t="n">
        <v>0.18</v>
      </c>
      <c r="I334" s="40" t="n">
        <v>15.41</v>
      </c>
      <c r="J334" s="40" t="n">
        <f aca="false">G334*F334</f>
        <v>368</v>
      </c>
      <c r="K334" s="40" t="n">
        <f aca="false">H334*F334</f>
        <v>28.8</v>
      </c>
      <c r="L334" s="40" t="n">
        <f aca="false">J334+K334</f>
        <v>396.8</v>
      </c>
      <c r="M334" s="40" t="n">
        <f aca="false">ROUND(L334*(1+$M$4),2)</f>
        <v>500.05</v>
      </c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F334" s="41"/>
      <c r="AG334" s="41"/>
      <c r="AH334" s="41"/>
      <c r="AI334" s="41"/>
      <c r="AJ334" s="42"/>
      <c r="AK334" s="42"/>
      <c r="AL334" s="42"/>
      <c r="AM334" s="42"/>
      <c r="AN334" s="42"/>
      <c r="AO334" s="42"/>
      <c r="AP334" s="42"/>
      <c r="AQ334" s="42"/>
      <c r="AR334" s="42"/>
      <c r="AS334" s="42"/>
      <c r="AT334" s="42"/>
      <c r="AU334" s="42"/>
      <c r="AV334" s="42"/>
      <c r="AW334" s="42"/>
      <c r="AX334" s="42"/>
      <c r="AY334" s="42"/>
      <c r="AZ334" s="42"/>
    </row>
    <row r="335" customFormat="false" ht="15" hidden="false" customHeight="true" outlineLevel="0" collapsed="false">
      <c r="A335" s="60" t="s">
        <v>968</v>
      </c>
      <c r="B335" s="61" t="s">
        <v>969</v>
      </c>
      <c r="C335" s="61"/>
      <c r="D335" s="62"/>
      <c r="E335" s="62"/>
      <c r="F335" s="63"/>
      <c r="G335" s="64"/>
      <c r="H335" s="64"/>
      <c r="I335" s="64"/>
      <c r="J335" s="87" t="n">
        <f aca="false">SUM(J336:J342)</f>
        <v>4734.48</v>
      </c>
      <c r="K335" s="87" t="n">
        <f aca="false">SUM(K336:K342)</f>
        <v>784.18</v>
      </c>
      <c r="L335" s="87" t="n">
        <f aca="false">SUM(L336:L342)</f>
        <v>5518.66</v>
      </c>
      <c r="M335" s="87" t="n">
        <f aca="false">SUM(M336:M342)</f>
        <v>6954.62</v>
      </c>
      <c r="N335" s="88" t="n">
        <f aca="false">M335</f>
        <v>6954.62</v>
      </c>
      <c r="O335" s="42"/>
      <c r="P335" s="42"/>
      <c r="Q335" s="42"/>
      <c r="R335" s="42"/>
      <c r="S335" s="42"/>
      <c r="T335" s="42"/>
      <c r="U335" s="42"/>
      <c r="V335" s="42"/>
      <c r="W335" s="42"/>
      <c r="X335" s="42"/>
      <c r="Y335" s="42"/>
      <c r="Z335" s="42"/>
      <c r="AA335" s="42"/>
      <c r="AB335" s="42"/>
      <c r="AC335" s="42"/>
      <c r="AD335" s="42"/>
      <c r="AE335" s="42"/>
      <c r="AF335" s="42"/>
      <c r="AG335" s="42"/>
      <c r="AH335" s="42"/>
      <c r="AI335" s="42"/>
      <c r="AJ335" s="42"/>
      <c r="AK335" s="42"/>
      <c r="AL335" s="42"/>
      <c r="AM335" s="42"/>
      <c r="AN335" s="42"/>
      <c r="AO335" s="42"/>
      <c r="AP335" s="42"/>
      <c r="AQ335" s="42"/>
      <c r="AR335" s="42"/>
      <c r="AS335" s="42"/>
      <c r="AT335" s="42"/>
      <c r="AU335" s="42"/>
      <c r="AV335" s="42"/>
      <c r="AW335" s="42"/>
      <c r="AX335" s="42"/>
      <c r="AY335" s="42"/>
      <c r="AZ335" s="42"/>
    </row>
    <row r="336" customFormat="false" ht="15" hidden="false" customHeight="false" outlineLevel="0" collapsed="false">
      <c r="A336" s="34" t="s">
        <v>970</v>
      </c>
      <c r="B336" s="35" t="s">
        <v>971</v>
      </c>
      <c r="C336" s="34" t="s">
        <v>454</v>
      </c>
      <c r="D336" s="37" t="s">
        <v>455</v>
      </c>
      <c r="E336" s="38" t="s">
        <v>396</v>
      </c>
      <c r="F336" s="39" t="n">
        <f aca="false">80*1.1</f>
        <v>88</v>
      </c>
      <c r="G336" s="40" t="n">
        <v>8.26</v>
      </c>
      <c r="H336" s="40" t="n">
        <v>6.39</v>
      </c>
      <c r="I336" s="40" t="n">
        <f aca="false">G336+H336</f>
        <v>14.65</v>
      </c>
      <c r="J336" s="40" t="n">
        <f aca="false">G336*F336</f>
        <v>726.88</v>
      </c>
      <c r="K336" s="40" t="n">
        <f aca="false">H336*F336</f>
        <v>562.32</v>
      </c>
      <c r="L336" s="40" t="n">
        <f aca="false">J336+K336</f>
        <v>1289.2</v>
      </c>
      <c r="M336" s="40" t="n">
        <f aca="false">ROUND(L336*(1+$M$4),2)</f>
        <v>1624.65</v>
      </c>
      <c r="N336" s="41"/>
      <c r="O336" s="42"/>
      <c r="P336" s="42"/>
      <c r="Q336" s="42"/>
      <c r="R336" s="42"/>
      <c r="S336" s="42"/>
      <c r="T336" s="42"/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F336" s="42"/>
      <c r="AG336" s="42"/>
      <c r="AH336" s="42"/>
      <c r="AI336" s="42"/>
      <c r="AJ336" s="42"/>
      <c r="AK336" s="42"/>
      <c r="AL336" s="42"/>
      <c r="AM336" s="42"/>
      <c r="AN336" s="42"/>
      <c r="AO336" s="42"/>
      <c r="AP336" s="42"/>
      <c r="AQ336" s="42"/>
      <c r="AR336" s="42"/>
      <c r="AS336" s="42"/>
      <c r="AT336" s="42"/>
      <c r="AU336" s="42"/>
      <c r="AV336" s="42"/>
      <c r="AW336" s="42"/>
      <c r="AX336" s="42"/>
      <c r="AY336" s="42"/>
      <c r="AZ336" s="42"/>
    </row>
    <row r="337" customFormat="false" ht="15" hidden="false" customHeight="false" outlineLevel="0" collapsed="false">
      <c r="A337" s="34" t="s">
        <v>972</v>
      </c>
      <c r="B337" s="35" t="s">
        <v>973</v>
      </c>
      <c r="C337" s="34" t="s">
        <v>458</v>
      </c>
      <c r="D337" s="37" t="s">
        <v>459</v>
      </c>
      <c r="E337" s="38" t="s">
        <v>396</v>
      </c>
      <c r="F337" s="39" t="n">
        <v>3</v>
      </c>
      <c r="G337" s="40" t="n">
        <v>25.98</v>
      </c>
      <c r="H337" s="40" t="n">
        <v>4.84</v>
      </c>
      <c r="I337" s="40" t="n">
        <f aca="false">G337+H337</f>
        <v>30.82</v>
      </c>
      <c r="J337" s="40" t="n">
        <f aca="false">G337*F337</f>
        <v>77.94</v>
      </c>
      <c r="K337" s="40" t="n">
        <f aca="false">H337*F337</f>
        <v>14.52</v>
      </c>
      <c r="L337" s="40" t="n">
        <f aca="false">J337+K337</f>
        <v>92.46</v>
      </c>
      <c r="M337" s="40" t="n">
        <f aca="false">ROUND(L337*(1+$M$4),2)</f>
        <v>116.52</v>
      </c>
      <c r="N337" s="41"/>
      <c r="O337" s="42"/>
      <c r="P337" s="42"/>
      <c r="Q337" s="42"/>
      <c r="R337" s="42"/>
      <c r="S337" s="42"/>
      <c r="T337" s="42"/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F337" s="42"/>
      <c r="AG337" s="42"/>
      <c r="AH337" s="42"/>
      <c r="AI337" s="42"/>
      <c r="AJ337" s="42"/>
      <c r="AK337" s="42"/>
      <c r="AL337" s="42"/>
      <c r="AM337" s="42"/>
      <c r="AN337" s="42"/>
      <c r="AO337" s="42"/>
      <c r="AP337" s="42"/>
      <c r="AQ337" s="42"/>
      <c r="AR337" s="42"/>
      <c r="AS337" s="42"/>
      <c r="AT337" s="42"/>
      <c r="AU337" s="42"/>
      <c r="AV337" s="42"/>
      <c r="AW337" s="42"/>
      <c r="AX337" s="42"/>
      <c r="AY337" s="42"/>
      <c r="AZ337" s="42"/>
    </row>
    <row r="338" customFormat="false" ht="15" hidden="false" customHeight="false" outlineLevel="0" collapsed="false">
      <c r="A338" s="34" t="s">
        <v>974</v>
      </c>
      <c r="B338" s="35" t="s">
        <v>975</v>
      </c>
      <c r="C338" s="34" t="s">
        <v>435</v>
      </c>
      <c r="D338" s="37" t="s">
        <v>436</v>
      </c>
      <c r="E338" s="38" t="s">
        <v>14</v>
      </c>
      <c r="F338" s="39" t="n">
        <v>35</v>
      </c>
      <c r="G338" s="40" t="n">
        <v>17.27</v>
      </c>
      <c r="H338" s="40" t="n">
        <v>3.56</v>
      </c>
      <c r="I338" s="40" t="n">
        <f aca="false">G338+H338</f>
        <v>20.83</v>
      </c>
      <c r="J338" s="40" t="n">
        <f aca="false">G338*F338</f>
        <v>604.45</v>
      </c>
      <c r="K338" s="40" t="n">
        <f aca="false">H338*F338</f>
        <v>124.6</v>
      </c>
      <c r="L338" s="40" t="n">
        <f aca="false">J338+K338</f>
        <v>729.05</v>
      </c>
      <c r="M338" s="40" t="n">
        <f aca="false">ROUND(L338*(1+$M$4),2)</f>
        <v>918.75</v>
      </c>
      <c r="N338" s="42"/>
      <c r="O338" s="42"/>
      <c r="P338" s="42"/>
      <c r="Q338" s="42"/>
      <c r="R338" s="42"/>
      <c r="S338" s="42"/>
      <c r="T338" s="42"/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F338" s="42"/>
      <c r="AG338" s="42"/>
      <c r="AH338" s="42"/>
      <c r="AI338" s="42"/>
      <c r="AJ338" s="42"/>
      <c r="AK338" s="42"/>
      <c r="AL338" s="42"/>
      <c r="AM338" s="42"/>
      <c r="AN338" s="42"/>
      <c r="AO338" s="42"/>
      <c r="AP338" s="42"/>
      <c r="AQ338" s="42"/>
      <c r="AR338" s="42"/>
      <c r="AS338" s="42"/>
      <c r="AT338" s="42"/>
      <c r="AU338" s="42"/>
      <c r="AV338" s="42"/>
      <c r="AW338" s="42"/>
      <c r="AX338" s="42"/>
      <c r="AY338" s="42"/>
      <c r="AZ338" s="42"/>
    </row>
    <row r="339" customFormat="false" ht="15" hidden="false" customHeight="false" outlineLevel="0" collapsed="false">
      <c r="A339" s="34" t="s">
        <v>976</v>
      </c>
      <c r="B339" s="35" t="s">
        <v>977</v>
      </c>
      <c r="C339" s="34" t="s">
        <v>978</v>
      </c>
      <c r="D339" s="37" t="s">
        <v>979</v>
      </c>
      <c r="E339" s="38" t="s">
        <v>14</v>
      </c>
      <c r="F339" s="39" t="n">
        <v>35</v>
      </c>
      <c r="G339" s="40" t="n">
        <v>5.17</v>
      </c>
      <c r="H339" s="40" t="n">
        <v>0</v>
      </c>
      <c r="I339" s="40" t="n">
        <f aca="false">G339+H339</f>
        <v>5.17</v>
      </c>
      <c r="J339" s="40" t="n">
        <f aca="false">G339*F339</f>
        <v>180.95</v>
      </c>
      <c r="K339" s="40" t="n">
        <f aca="false">H339*F339</f>
        <v>0</v>
      </c>
      <c r="L339" s="40" t="n">
        <f aca="false">J339+K339</f>
        <v>180.95</v>
      </c>
      <c r="M339" s="40" t="n">
        <f aca="false">ROUND(L339*(1+$M$4),2)</f>
        <v>228.03</v>
      </c>
      <c r="N339" s="42"/>
      <c r="O339" s="42"/>
      <c r="P339" s="42"/>
      <c r="Q339" s="42"/>
      <c r="R339" s="42"/>
      <c r="S339" s="42"/>
      <c r="T339" s="42"/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  <c r="AF339" s="42"/>
      <c r="AG339" s="42"/>
      <c r="AH339" s="42"/>
      <c r="AI339" s="42"/>
      <c r="AJ339" s="42"/>
      <c r="AK339" s="42"/>
      <c r="AL339" s="42"/>
      <c r="AM339" s="42"/>
      <c r="AN339" s="42"/>
      <c r="AO339" s="42"/>
      <c r="AP339" s="42"/>
      <c r="AQ339" s="42"/>
      <c r="AR339" s="42"/>
      <c r="AS339" s="42"/>
      <c r="AT339" s="42"/>
      <c r="AU339" s="42"/>
      <c r="AV339" s="42"/>
      <c r="AW339" s="42"/>
      <c r="AX339" s="42"/>
      <c r="AY339" s="42"/>
      <c r="AZ339" s="42"/>
    </row>
    <row r="340" customFormat="false" ht="15" hidden="false" customHeight="false" outlineLevel="0" collapsed="false">
      <c r="A340" s="34" t="s">
        <v>980</v>
      </c>
      <c r="B340" s="35" t="s">
        <v>981</v>
      </c>
      <c r="C340" s="34" t="s">
        <v>982</v>
      </c>
      <c r="D340" s="37" t="s">
        <v>983</v>
      </c>
      <c r="E340" s="38" t="s">
        <v>14</v>
      </c>
      <c r="F340" s="39" t="n">
        <v>35</v>
      </c>
      <c r="G340" s="40" t="n">
        <v>16.04</v>
      </c>
      <c r="H340" s="40" t="n">
        <v>0</v>
      </c>
      <c r="I340" s="40" t="n">
        <f aca="false">G340+H340</f>
        <v>16.04</v>
      </c>
      <c r="J340" s="40" t="n">
        <f aca="false">G340*F340</f>
        <v>561.4</v>
      </c>
      <c r="K340" s="40" t="n">
        <f aca="false">H340*F340</f>
        <v>0</v>
      </c>
      <c r="L340" s="40" t="n">
        <f aca="false">J340+K340</f>
        <v>561.4</v>
      </c>
      <c r="M340" s="40" t="n">
        <f aca="false">ROUND(L340*(1+$M$4),2)</f>
        <v>707.48</v>
      </c>
      <c r="N340" s="42"/>
      <c r="O340" s="42"/>
      <c r="P340" s="42"/>
      <c r="Q340" s="42"/>
      <c r="R340" s="42"/>
      <c r="S340" s="42"/>
      <c r="T340" s="42"/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F340" s="42"/>
      <c r="AG340" s="42"/>
      <c r="AH340" s="42"/>
      <c r="AI340" s="42"/>
      <c r="AJ340" s="42"/>
      <c r="AK340" s="42"/>
      <c r="AL340" s="42"/>
      <c r="AM340" s="42"/>
      <c r="AN340" s="42"/>
      <c r="AO340" s="42"/>
      <c r="AP340" s="42"/>
      <c r="AQ340" s="42"/>
      <c r="AR340" s="42"/>
      <c r="AS340" s="42"/>
      <c r="AT340" s="42"/>
      <c r="AU340" s="42"/>
      <c r="AV340" s="42"/>
      <c r="AW340" s="42"/>
      <c r="AX340" s="42"/>
      <c r="AY340" s="42"/>
      <c r="AZ340" s="42"/>
    </row>
    <row r="341" customFormat="false" ht="15" hidden="false" customHeight="false" outlineLevel="0" collapsed="false">
      <c r="A341" s="34" t="s">
        <v>984</v>
      </c>
      <c r="B341" s="35" t="s">
        <v>985</v>
      </c>
      <c r="C341" s="34" t="s">
        <v>986</v>
      </c>
      <c r="D341" s="37" t="s">
        <v>987</v>
      </c>
      <c r="E341" s="38" t="s">
        <v>396</v>
      </c>
      <c r="F341" s="39" t="n">
        <v>420</v>
      </c>
      <c r="G341" s="40" t="n">
        <v>5.99</v>
      </c>
      <c r="H341" s="40" t="n">
        <v>0.09</v>
      </c>
      <c r="I341" s="40" t="n">
        <f aca="false">G341+H341</f>
        <v>6.08</v>
      </c>
      <c r="J341" s="40" t="n">
        <f aca="false">G341*F341</f>
        <v>2515.8</v>
      </c>
      <c r="K341" s="40" t="n">
        <f aca="false">H341*F341</f>
        <v>37.8</v>
      </c>
      <c r="L341" s="40" t="n">
        <f aca="false">J341+K341</f>
        <v>2553.6</v>
      </c>
      <c r="M341" s="40" t="n">
        <f aca="false">ROUND(L341*(1+$M$4),2)</f>
        <v>3218.05</v>
      </c>
      <c r="N341" s="42"/>
      <c r="O341" s="42"/>
      <c r="P341" s="42"/>
      <c r="Q341" s="42"/>
      <c r="R341" s="42"/>
      <c r="S341" s="42"/>
      <c r="T341" s="42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F341" s="42"/>
      <c r="AG341" s="42"/>
      <c r="AH341" s="42"/>
      <c r="AI341" s="42"/>
      <c r="AJ341" s="42"/>
      <c r="AK341" s="42"/>
      <c r="AL341" s="42"/>
      <c r="AM341" s="42"/>
      <c r="AN341" s="42"/>
      <c r="AO341" s="42"/>
      <c r="AP341" s="42"/>
      <c r="AQ341" s="42"/>
      <c r="AR341" s="42"/>
      <c r="AS341" s="42"/>
      <c r="AT341" s="42"/>
      <c r="AU341" s="42"/>
      <c r="AV341" s="42"/>
      <c r="AW341" s="42"/>
      <c r="AX341" s="42"/>
      <c r="AY341" s="42"/>
      <c r="AZ341" s="42"/>
    </row>
    <row r="342" customFormat="false" ht="15" hidden="false" customHeight="false" outlineLevel="0" collapsed="false">
      <c r="A342" s="34" t="s">
        <v>988</v>
      </c>
      <c r="B342" s="35" t="s">
        <v>989</v>
      </c>
      <c r="C342" s="34" t="s">
        <v>990</v>
      </c>
      <c r="D342" s="37" t="s">
        <v>991</v>
      </c>
      <c r="E342" s="38" t="s">
        <v>14</v>
      </c>
      <c r="F342" s="39" t="n">
        <v>7</v>
      </c>
      <c r="G342" s="40" t="n">
        <v>9.58</v>
      </c>
      <c r="H342" s="40" t="n">
        <v>6.42</v>
      </c>
      <c r="I342" s="40" t="n">
        <f aca="false">G342+H342</f>
        <v>16</v>
      </c>
      <c r="J342" s="40" t="n">
        <f aca="false">G342*F342</f>
        <v>67.06</v>
      </c>
      <c r="K342" s="40" t="n">
        <f aca="false">H342*F342</f>
        <v>44.94</v>
      </c>
      <c r="L342" s="40" t="n">
        <f aca="false">J342+K342</f>
        <v>112</v>
      </c>
      <c r="M342" s="40" t="n">
        <f aca="false">ROUND(L342*(1+$M$4),2)</f>
        <v>141.14</v>
      </c>
      <c r="N342" s="42"/>
      <c r="O342" s="42"/>
      <c r="P342" s="42"/>
      <c r="Q342" s="42"/>
      <c r="R342" s="42"/>
      <c r="S342" s="42"/>
      <c r="T342" s="42"/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  <c r="AF342" s="42"/>
      <c r="AG342" s="42"/>
      <c r="AH342" s="42"/>
      <c r="AI342" s="42"/>
      <c r="AJ342" s="42"/>
      <c r="AK342" s="42"/>
      <c r="AL342" s="42"/>
      <c r="AM342" s="42"/>
      <c r="AN342" s="42"/>
      <c r="AO342" s="42"/>
      <c r="AP342" s="42"/>
      <c r="AQ342" s="42"/>
      <c r="AR342" s="42"/>
      <c r="AS342" s="42"/>
      <c r="AT342" s="42"/>
      <c r="AU342" s="42"/>
      <c r="AV342" s="42"/>
      <c r="AW342" s="42"/>
      <c r="AX342" s="42"/>
      <c r="AY342" s="42"/>
      <c r="AZ342" s="42"/>
    </row>
    <row r="343" customFormat="false" ht="12.75" hidden="false" customHeight="true" outlineLevel="0" collapsed="false">
      <c r="A343" s="91"/>
      <c r="B343" s="91"/>
      <c r="C343" s="91"/>
      <c r="D343" s="91"/>
      <c r="E343" s="91"/>
      <c r="F343" s="91"/>
      <c r="G343" s="91"/>
      <c r="H343" s="91"/>
      <c r="I343" s="91"/>
      <c r="J343" s="91"/>
      <c r="K343" s="91"/>
      <c r="L343" s="91"/>
      <c r="M343" s="91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</row>
    <row r="344" customFormat="false" ht="42" hidden="false" customHeight="true" outlineLevel="0" collapsed="false">
      <c r="A344" s="92"/>
      <c r="B344" s="93"/>
      <c r="C344" s="92"/>
      <c r="D344" s="94"/>
      <c r="E344" s="95"/>
      <c r="F344" s="95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</row>
    <row r="345" customFormat="false" ht="49.5" hidden="false" customHeight="true" outlineLevel="0" collapsed="false">
      <c r="A345" s="92"/>
      <c r="B345" s="93"/>
      <c r="C345" s="92"/>
      <c r="D345" s="94"/>
      <c r="E345" s="95"/>
      <c r="F345" s="95"/>
      <c r="G345" s="12"/>
      <c r="H345" s="12"/>
      <c r="I345" s="12"/>
      <c r="J345" s="12"/>
      <c r="K345" s="96" t="s">
        <v>9</v>
      </c>
      <c r="L345" s="96"/>
      <c r="M345" s="96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</row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  <row r="1001" customFormat="false" ht="15.75" hidden="false" customHeight="true" outlineLevel="0" collapsed="false"/>
    <row r="1002" customFormat="false" ht="15.75" hidden="false" customHeight="true" outlineLevel="0" collapsed="false"/>
    <row r="1003" customFormat="false" ht="15.75" hidden="false" customHeight="true" outlineLevel="0" collapsed="false"/>
    <row r="1004" customFormat="false" ht="15.75" hidden="false" customHeight="true" outlineLevel="0" collapsed="false"/>
    <row r="1005" customFormat="false" ht="15.75" hidden="false" customHeight="true" outlineLevel="0" collapsed="false"/>
    <row r="1006" customFormat="false" ht="15.75" hidden="false" customHeight="true" outlineLevel="0" collapsed="false"/>
    <row r="1007" customFormat="false" ht="15.75" hidden="false" customHeight="true" outlineLevel="0" collapsed="false"/>
    <row r="1008" customFormat="false" ht="15.75" hidden="false" customHeight="true" outlineLevel="0" collapsed="false"/>
    <row r="1009" customFormat="false" ht="15.75" hidden="false" customHeight="true" outlineLevel="0" collapsed="false"/>
    <row r="1010" customFormat="false" ht="15.75" hidden="false" customHeight="true" outlineLevel="0" collapsed="false"/>
    <row r="1011" customFormat="false" ht="15.75" hidden="false" customHeight="true" outlineLevel="0" collapsed="false"/>
    <row r="1012" customFormat="false" ht="15.75" hidden="false" customHeight="true" outlineLevel="0" collapsed="false"/>
    <row r="1013" customFormat="false" ht="15.75" hidden="false" customHeight="true" outlineLevel="0" collapsed="false"/>
    <row r="1014" customFormat="false" ht="15.75" hidden="false" customHeight="true" outlineLevel="0" collapsed="false"/>
    <row r="1015" customFormat="false" ht="15.75" hidden="false" customHeight="true" outlineLevel="0" collapsed="false"/>
    <row r="1016" customFormat="false" ht="15.75" hidden="false" customHeight="true" outlineLevel="0" collapsed="false"/>
    <row r="1017" customFormat="false" ht="15.75" hidden="false" customHeight="true" outlineLevel="0" collapsed="false"/>
    <row r="1018" customFormat="false" ht="15.75" hidden="false" customHeight="true" outlineLevel="0" collapsed="false"/>
    <row r="1019" customFormat="false" ht="15.75" hidden="false" customHeight="true" outlineLevel="0" collapsed="false"/>
    <row r="1020" customFormat="false" ht="15.75" hidden="false" customHeight="true" outlineLevel="0" collapsed="false"/>
    <row r="1021" customFormat="false" ht="15.75" hidden="false" customHeight="true" outlineLevel="0" collapsed="false"/>
    <row r="1022" customFormat="false" ht="15.75" hidden="false" customHeight="true" outlineLevel="0" collapsed="false"/>
    <row r="1023" customFormat="false" ht="15.75" hidden="false" customHeight="true" outlineLevel="0" collapsed="false"/>
    <row r="1024" customFormat="false" ht="15.75" hidden="false" customHeight="true" outlineLevel="0" collapsed="false"/>
    <row r="1025" customFormat="false" ht="15.75" hidden="false" customHeight="true" outlineLevel="0" collapsed="false"/>
    <row r="1026" customFormat="false" ht="15.75" hidden="false" customHeight="true" outlineLevel="0" collapsed="false"/>
    <row r="1027" customFormat="false" ht="15.75" hidden="false" customHeight="true" outlineLevel="0" collapsed="false"/>
    <row r="1028" customFormat="false" ht="15.75" hidden="false" customHeight="true" outlineLevel="0" collapsed="false"/>
    <row r="1029" customFormat="false" ht="15.75" hidden="false" customHeight="true" outlineLevel="0" collapsed="false"/>
    <row r="1030" customFormat="false" ht="15.75" hidden="false" customHeight="true" outlineLevel="0" collapsed="false"/>
    <row r="1031" customFormat="false" ht="15.75" hidden="false" customHeight="true" outlineLevel="0" collapsed="false"/>
    <row r="1032" customFormat="false" ht="15.75" hidden="false" customHeight="true" outlineLevel="0" collapsed="false"/>
    <row r="1033" customFormat="false" ht="15.75" hidden="false" customHeight="true" outlineLevel="0" collapsed="false"/>
    <row r="1034" customFormat="false" ht="15.75" hidden="false" customHeight="true" outlineLevel="0" collapsed="false"/>
    <row r="1035" customFormat="false" ht="15.75" hidden="false" customHeight="true" outlineLevel="0" collapsed="false"/>
    <row r="1036" customFormat="false" ht="15.75" hidden="false" customHeight="true" outlineLevel="0" collapsed="false"/>
    <row r="1037" customFormat="false" ht="15.75" hidden="false" customHeight="true" outlineLevel="0" collapsed="false"/>
    <row r="1038" customFormat="false" ht="15.75" hidden="false" customHeight="true" outlineLevel="0" collapsed="false"/>
    <row r="1039" customFormat="false" ht="15.75" hidden="false" customHeight="true" outlineLevel="0" collapsed="false"/>
    <row r="1040" customFormat="false" ht="15.75" hidden="false" customHeight="true" outlineLevel="0" collapsed="false"/>
    <row r="1041" customFormat="false" ht="15.75" hidden="false" customHeight="true" outlineLevel="0" collapsed="false"/>
    <row r="1042" customFormat="false" ht="15.75" hidden="false" customHeight="true" outlineLevel="0" collapsed="false"/>
    <row r="1043" customFormat="false" ht="15.75" hidden="false" customHeight="true" outlineLevel="0" collapsed="false"/>
    <row r="1044" customFormat="false" ht="15.75" hidden="false" customHeight="true" outlineLevel="0" collapsed="false"/>
    <row r="1045" customFormat="false" ht="15.75" hidden="false" customHeight="true" outlineLevel="0" collapsed="false"/>
    <row r="1046" customFormat="false" ht="15.75" hidden="false" customHeight="true" outlineLevel="0" collapsed="false"/>
    <row r="1047" customFormat="false" ht="15.75" hidden="false" customHeight="true" outlineLevel="0" collapsed="false"/>
    <row r="1048" customFormat="false" ht="15.75" hidden="false" customHeight="true" outlineLevel="0" collapsed="false"/>
    <row r="1049" customFormat="false" ht="15.75" hidden="false" customHeight="true" outlineLevel="0" collapsed="false"/>
    <row r="1050" customFormat="false" ht="15.75" hidden="false" customHeight="true" outlineLevel="0" collapsed="false"/>
    <row r="1051" customFormat="false" ht="15.75" hidden="false" customHeight="true" outlineLevel="0" collapsed="false"/>
    <row r="1052" customFormat="false" ht="15.75" hidden="false" customHeight="true" outlineLevel="0" collapsed="false"/>
    <row r="1053" customFormat="false" ht="15.75" hidden="false" customHeight="true" outlineLevel="0" collapsed="false"/>
    <row r="1054" customFormat="false" ht="15.75" hidden="false" customHeight="true" outlineLevel="0" collapsed="false"/>
    <row r="1055" customFormat="false" ht="15.75" hidden="false" customHeight="true" outlineLevel="0" collapsed="false"/>
    <row r="1056" customFormat="false" ht="15.75" hidden="false" customHeight="true" outlineLevel="0" collapsed="false"/>
    <row r="1057" customFormat="false" ht="15.75" hidden="false" customHeight="true" outlineLevel="0" collapsed="false"/>
    <row r="1058" customFormat="false" ht="15.75" hidden="false" customHeight="true" outlineLevel="0" collapsed="false"/>
    <row r="1059" customFormat="false" ht="15.75" hidden="false" customHeight="true" outlineLevel="0" collapsed="false"/>
    <row r="1060" customFormat="false" ht="15.75" hidden="false" customHeight="true" outlineLevel="0" collapsed="false"/>
    <row r="1061" customFormat="false" ht="15.75" hidden="false" customHeight="true" outlineLevel="0" collapsed="false"/>
    <row r="1062" customFormat="false" ht="15.75" hidden="false" customHeight="true" outlineLevel="0" collapsed="false"/>
    <row r="1063" customFormat="false" ht="15.75" hidden="false" customHeight="true" outlineLevel="0" collapsed="false"/>
    <row r="1064" customFormat="false" ht="15.75" hidden="false" customHeight="true" outlineLevel="0" collapsed="false"/>
    <row r="1065" customFormat="false" ht="15.75" hidden="false" customHeight="true" outlineLevel="0" collapsed="false"/>
    <row r="1066" customFormat="false" ht="15.75" hidden="false" customHeight="true" outlineLevel="0" collapsed="false"/>
    <row r="1067" customFormat="false" ht="15.75" hidden="false" customHeight="true" outlineLevel="0" collapsed="false"/>
    <row r="1068" customFormat="false" ht="15.75" hidden="false" customHeight="true" outlineLevel="0" collapsed="false"/>
    <row r="1069" customFormat="false" ht="15.75" hidden="false" customHeight="true" outlineLevel="0" collapsed="false"/>
    <row r="1070" customFormat="false" ht="15.75" hidden="false" customHeight="true" outlineLevel="0" collapsed="false"/>
    <row r="1071" customFormat="false" ht="15.75" hidden="false" customHeight="true" outlineLevel="0" collapsed="false"/>
    <row r="1072" customFormat="false" ht="15.75" hidden="false" customHeight="true" outlineLevel="0" collapsed="false"/>
    <row r="1073" customFormat="false" ht="15.75" hidden="false" customHeight="true" outlineLevel="0" collapsed="false"/>
    <row r="1074" customFormat="false" ht="15.75" hidden="false" customHeight="true" outlineLevel="0" collapsed="false"/>
    <row r="1075" customFormat="false" ht="15.75" hidden="false" customHeight="true" outlineLevel="0" collapsed="false"/>
    <row r="1076" customFormat="false" ht="15.75" hidden="false" customHeight="true" outlineLevel="0" collapsed="false"/>
    <row r="1077" customFormat="false" ht="15.75" hidden="false" customHeight="true" outlineLevel="0" collapsed="false"/>
    <row r="1078" customFormat="false" ht="15.75" hidden="false" customHeight="true" outlineLevel="0" collapsed="false"/>
    <row r="1079" customFormat="false" ht="15.75" hidden="false" customHeight="true" outlineLevel="0" collapsed="false"/>
    <row r="1080" customFormat="false" ht="15.75" hidden="false" customHeight="true" outlineLevel="0" collapsed="false"/>
    <row r="1081" customFormat="false" ht="15.75" hidden="false" customHeight="true" outlineLevel="0" collapsed="false"/>
    <row r="1082" customFormat="false" ht="15.75" hidden="false" customHeight="true" outlineLevel="0" collapsed="false"/>
    <row r="1083" customFormat="false" ht="15.75" hidden="false" customHeight="true" outlineLevel="0" collapsed="false"/>
    <row r="1084" customFormat="false" ht="15.75" hidden="false" customHeight="true" outlineLevel="0" collapsed="false"/>
    <row r="1085" customFormat="false" ht="15.75" hidden="false" customHeight="true" outlineLevel="0" collapsed="false"/>
    <row r="1086" customFormat="false" ht="15.75" hidden="false" customHeight="true" outlineLevel="0" collapsed="false"/>
    <row r="1087" customFormat="false" ht="15.75" hidden="false" customHeight="true" outlineLevel="0" collapsed="false"/>
    <row r="1088" customFormat="false" ht="15.75" hidden="false" customHeight="true" outlineLevel="0" collapsed="false"/>
    <row r="1089" customFormat="false" ht="15.75" hidden="false" customHeight="true" outlineLevel="0" collapsed="false"/>
    <row r="1090" customFormat="false" ht="15.75" hidden="false" customHeight="true" outlineLevel="0" collapsed="false"/>
    <row r="1091" customFormat="false" ht="15.75" hidden="false" customHeight="true" outlineLevel="0" collapsed="false"/>
    <row r="1092" customFormat="false" ht="15.75" hidden="false" customHeight="true" outlineLevel="0" collapsed="false"/>
    <row r="1093" customFormat="false" ht="15.75" hidden="false" customHeight="true" outlineLevel="0" collapsed="false"/>
    <row r="1094" customFormat="false" ht="15.75" hidden="false" customHeight="true" outlineLevel="0" collapsed="false"/>
    <row r="1095" customFormat="false" ht="15.75" hidden="false" customHeight="true" outlineLevel="0" collapsed="false"/>
    <row r="1096" customFormat="false" ht="15.75" hidden="false" customHeight="true" outlineLevel="0" collapsed="false"/>
    <row r="1097" customFormat="false" ht="15.75" hidden="false" customHeight="true" outlineLevel="0" collapsed="false"/>
    <row r="1098" customFormat="false" ht="15.75" hidden="false" customHeight="true" outlineLevel="0" collapsed="false"/>
    <row r="1099" customFormat="false" ht="15.75" hidden="false" customHeight="true" outlineLevel="0" collapsed="false"/>
    <row r="1100" customFormat="false" ht="15.75" hidden="false" customHeight="true" outlineLevel="0" collapsed="false"/>
    <row r="1101" customFormat="false" ht="15.75" hidden="false" customHeight="true" outlineLevel="0" collapsed="false"/>
    <row r="1102" customFormat="false" ht="15.75" hidden="false" customHeight="true" outlineLevel="0" collapsed="false"/>
    <row r="1103" customFormat="false" ht="15.75" hidden="false" customHeight="true" outlineLevel="0" collapsed="false"/>
    <row r="1104" customFormat="false" ht="15.75" hidden="false" customHeight="true" outlineLevel="0" collapsed="false"/>
    <row r="1105" customFormat="false" ht="15.75" hidden="false" customHeight="true" outlineLevel="0" collapsed="false"/>
    <row r="1106" customFormat="false" ht="15.75" hidden="false" customHeight="true" outlineLevel="0" collapsed="false"/>
    <row r="1107" customFormat="false" ht="15.75" hidden="false" customHeight="true" outlineLevel="0" collapsed="false"/>
    <row r="1108" customFormat="false" ht="15.75" hidden="false" customHeight="true" outlineLevel="0" collapsed="false"/>
    <row r="1109" customFormat="false" ht="15.75" hidden="false" customHeight="true" outlineLevel="0" collapsed="false"/>
    <row r="1110" customFormat="false" ht="15.75" hidden="false" customHeight="true" outlineLevel="0" collapsed="false"/>
    <row r="1111" customFormat="false" ht="15.75" hidden="false" customHeight="true" outlineLevel="0" collapsed="false"/>
    <row r="1112" customFormat="false" ht="15.75" hidden="false" customHeight="true" outlineLevel="0" collapsed="false"/>
    <row r="1113" customFormat="false" ht="15.75" hidden="false" customHeight="true" outlineLevel="0" collapsed="false"/>
    <row r="1114" customFormat="false" ht="15.75" hidden="false" customHeight="true" outlineLevel="0" collapsed="false"/>
    <row r="1115" customFormat="false" ht="15.75" hidden="false" customHeight="true" outlineLevel="0" collapsed="false"/>
    <row r="1116" customFormat="false" ht="15.75" hidden="false" customHeight="true" outlineLevel="0" collapsed="false"/>
    <row r="1117" customFormat="false" ht="15.75" hidden="false" customHeight="true" outlineLevel="0" collapsed="false"/>
    <row r="1118" customFormat="false" ht="15.75" hidden="false" customHeight="true" outlineLevel="0" collapsed="false"/>
    <row r="1119" customFormat="false" ht="15.75" hidden="false" customHeight="true" outlineLevel="0" collapsed="false"/>
    <row r="1120" customFormat="false" ht="15.75" hidden="false" customHeight="true" outlineLevel="0" collapsed="false"/>
    <row r="1121" customFormat="false" ht="15.75" hidden="false" customHeight="true" outlineLevel="0" collapsed="false"/>
    <row r="1122" customFormat="false" ht="15.75" hidden="false" customHeight="true" outlineLevel="0" collapsed="false"/>
    <row r="1123" customFormat="false" ht="15.75" hidden="false" customHeight="true" outlineLevel="0" collapsed="false"/>
    <row r="1124" customFormat="false" ht="15.75" hidden="false" customHeight="true" outlineLevel="0" collapsed="false"/>
    <row r="1125" customFormat="false" ht="15.75" hidden="false" customHeight="true" outlineLevel="0" collapsed="false"/>
    <row r="1126" customFormat="false" ht="15.75" hidden="false" customHeight="true" outlineLevel="0" collapsed="false"/>
    <row r="1127" customFormat="false" ht="15.75" hidden="false" customHeight="true" outlineLevel="0" collapsed="false"/>
    <row r="1128" customFormat="false" ht="15.75" hidden="false" customHeight="true" outlineLevel="0" collapsed="false"/>
    <row r="1129" customFormat="false" ht="15.75" hidden="false" customHeight="true" outlineLevel="0" collapsed="false"/>
    <row r="1130" customFormat="false" ht="15.75" hidden="false" customHeight="true" outlineLevel="0" collapsed="false"/>
    <row r="1131" customFormat="false" ht="15.75" hidden="false" customHeight="true" outlineLevel="0" collapsed="false"/>
    <row r="1132" customFormat="false" ht="15.75" hidden="false" customHeight="true" outlineLevel="0" collapsed="false"/>
    <row r="1133" customFormat="false" ht="15.75" hidden="false" customHeight="true" outlineLevel="0" collapsed="false"/>
    <row r="1134" customFormat="false" ht="15.75" hidden="false" customHeight="true" outlineLevel="0" collapsed="false"/>
    <row r="1135" customFormat="false" ht="15.75" hidden="false" customHeight="true" outlineLevel="0" collapsed="false"/>
    <row r="1136" customFormat="false" ht="15.75" hidden="false" customHeight="true" outlineLevel="0" collapsed="false"/>
    <row r="1137" customFormat="false" ht="15.75" hidden="false" customHeight="true" outlineLevel="0" collapsed="false"/>
    <row r="1138" customFormat="false" ht="15.75" hidden="false" customHeight="true" outlineLevel="0" collapsed="false"/>
    <row r="1139" customFormat="false" ht="15.75" hidden="false" customHeight="true" outlineLevel="0" collapsed="false"/>
    <row r="1140" customFormat="false" ht="15.75" hidden="false" customHeight="true" outlineLevel="0" collapsed="false"/>
    <row r="1141" customFormat="false" ht="15.75" hidden="false" customHeight="true" outlineLevel="0" collapsed="false"/>
    <row r="1142" customFormat="false" ht="15.75" hidden="false" customHeight="true" outlineLevel="0" collapsed="false"/>
    <row r="1143" customFormat="false" ht="15.75" hidden="false" customHeight="true" outlineLevel="0" collapsed="false"/>
    <row r="1144" customFormat="false" ht="15.75" hidden="false" customHeight="true" outlineLevel="0" collapsed="false"/>
    <row r="1145" customFormat="false" ht="15.75" hidden="false" customHeight="true" outlineLevel="0" collapsed="false"/>
    <row r="1146" customFormat="false" ht="15.75" hidden="false" customHeight="true" outlineLevel="0" collapsed="false"/>
    <row r="1147" customFormat="false" ht="15.75" hidden="false" customHeight="true" outlineLevel="0" collapsed="false"/>
    <row r="1148" customFormat="false" ht="15.75" hidden="false" customHeight="true" outlineLevel="0" collapsed="false"/>
    <row r="1149" customFormat="false" ht="15.75" hidden="false" customHeight="true" outlineLevel="0" collapsed="false"/>
    <row r="1150" customFormat="false" ht="15.75" hidden="false" customHeight="true" outlineLevel="0" collapsed="false"/>
    <row r="1151" customFormat="false" ht="15.75" hidden="false" customHeight="true" outlineLevel="0" collapsed="false"/>
    <row r="1152" customFormat="false" ht="15.75" hidden="false" customHeight="true" outlineLevel="0" collapsed="false"/>
    <row r="1153" customFormat="false" ht="15.75" hidden="false" customHeight="true" outlineLevel="0" collapsed="false"/>
    <row r="1154" customFormat="false" ht="15.75" hidden="false" customHeight="true" outlineLevel="0" collapsed="false"/>
    <row r="1155" customFormat="false" ht="15.75" hidden="false" customHeight="true" outlineLevel="0" collapsed="false"/>
    <row r="1156" customFormat="false" ht="15.75" hidden="false" customHeight="true" outlineLevel="0" collapsed="false"/>
    <row r="1157" customFormat="false" ht="15.75" hidden="false" customHeight="true" outlineLevel="0" collapsed="false"/>
    <row r="1158" customFormat="false" ht="15.75" hidden="false" customHeight="true" outlineLevel="0" collapsed="false"/>
    <row r="1159" customFormat="false" ht="15.75" hidden="false" customHeight="true" outlineLevel="0" collapsed="false"/>
    <row r="1160" customFormat="false" ht="15.75" hidden="false" customHeight="true" outlineLevel="0" collapsed="false"/>
    <row r="1161" customFormat="false" ht="15.75" hidden="false" customHeight="true" outlineLevel="0" collapsed="false"/>
    <row r="1162" customFormat="false" ht="15.75" hidden="false" customHeight="true" outlineLevel="0" collapsed="false"/>
    <row r="1163" customFormat="false" ht="15.75" hidden="false" customHeight="true" outlineLevel="0" collapsed="false"/>
    <row r="1164" customFormat="false" ht="15.75" hidden="false" customHeight="true" outlineLevel="0" collapsed="false"/>
    <row r="1165" customFormat="false" ht="15.75" hidden="false" customHeight="true" outlineLevel="0" collapsed="false"/>
    <row r="1166" customFormat="false" ht="15.75" hidden="false" customHeight="true" outlineLevel="0" collapsed="false"/>
    <row r="1167" customFormat="false" ht="15.75" hidden="false" customHeight="true" outlineLevel="0" collapsed="false"/>
    <row r="1168" customFormat="false" ht="15.75" hidden="false" customHeight="true" outlineLevel="0" collapsed="false"/>
    <row r="1169" customFormat="false" ht="15.75" hidden="false" customHeight="true" outlineLevel="0" collapsed="false"/>
    <row r="1170" customFormat="false" ht="15.75" hidden="false" customHeight="true" outlineLevel="0" collapsed="false"/>
    <row r="1171" customFormat="false" ht="15.75" hidden="false" customHeight="true" outlineLevel="0" collapsed="false"/>
    <row r="1172" customFormat="false" ht="15.75" hidden="false" customHeight="true" outlineLevel="0" collapsed="false"/>
    <row r="1173" customFormat="false" ht="15.75" hidden="false" customHeight="true" outlineLevel="0" collapsed="false"/>
    <row r="1174" customFormat="false" ht="15.75" hidden="false" customHeight="true" outlineLevel="0" collapsed="false"/>
    <row r="1175" customFormat="false" ht="15.75" hidden="false" customHeight="true" outlineLevel="0" collapsed="false"/>
    <row r="1176" customFormat="false" ht="15.75" hidden="false" customHeight="true" outlineLevel="0" collapsed="false"/>
    <row r="1177" customFormat="false" ht="15.75" hidden="false" customHeight="true" outlineLevel="0" collapsed="false"/>
    <row r="1178" customFormat="false" ht="15.75" hidden="false" customHeight="true" outlineLevel="0" collapsed="false"/>
    <row r="1179" customFormat="false" ht="15.75" hidden="false" customHeight="true" outlineLevel="0" collapsed="false"/>
    <row r="1180" customFormat="false" ht="15.75" hidden="false" customHeight="true" outlineLevel="0" collapsed="false"/>
    <row r="1181" customFormat="false" ht="15.75" hidden="false" customHeight="true" outlineLevel="0" collapsed="false"/>
    <row r="1182" customFormat="false" ht="15.75" hidden="false" customHeight="true" outlineLevel="0" collapsed="false"/>
    <row r="1183" customFormat="false" ht="15.75" hidden="false" customHeight="true" outlineLevel="0" collapsed="false"/>
    <row r="1184" customFormat="false" ht="15.75" hidden="false" customHeight="true" outlineLevel="0" collapsed="false"/>
    <row r="1185" customFormat="false" ht="15.75" hidden="false" customHeight="true" outlineLevel="0" collapsed="false"/>
    <row r="1186" customFormat="false" ht="15.75" hidden="false" customHeight="true" outlineLevel="0" collapsed="false"/>
    <row r="1187" customFormat="false" ht="15.75" hidden="false" customHeight="true" outlineLevel="0" collapsed="false"/>
    <row r="1188" customFormat="false" ht="15.75" hidden="false" customHeight="true" outlineLevel="0" collapsed="false"/>
    <row r="1189" customFormat="false" ht="15.75" hidden="false" customHeight="true" outlineLevel="0" collapsed="false"/>
    <row r="1190" customFormat="false" ht="15.75" hidden="false" customHeight="true" outlineLevel="0" collapsed="false"/>
    <row r="1191" customFormat="false" ht="15.75" hidden="false" customHeight="true" outlineLevel="0" collapsed="false"/>
    <row r="1192" customFormat="false" ht="15.75" hidden="false" customHeight="true" outlineLevel="0" collapsed="false"/>
    <row r="1193" customFormat="false" ht="15.75" hidden="false" customHeight="true" outlineLevel="0" collapsed="false"/>
    <row r="1194" customFormat="false" ht="15.75" hidden="false" customHeight="true" outlineLevel="0" collapsed="false"/>
    <row r="1195" customFormat="false" ht="15.75" hidden="false" customHeight="true" outlineLevel="0" collapsed="false"/>
    <row r="1196" customFormat="false" ht="15.75" hidden="false" customHeight="true" outlineLevel="0" collapsed="false"/>
    <row r="1197" customFormat="false" ht="15.75" hidden="false" customHeight="true" outlineLevel="0" collapsed="false"/>
    <row r="1198" customFormat="false" ht="15.75" hidden="false" customHeight="true" outlineLevel="0" collapsed="false"/>
    <row r="1199" customFormat="false" ht="15.75" hidden="false" customHeight="true" outlineLevel="0" collapsed="false"/>
    <row r="1200" customFormat="false" ht="15.75" hidden="false" customHeight="true" outlineLevel="0" collapsed="false"/>
    <row r="1201" customFormat="false" ht="15.75" hidden="false" customHeight="true" outlineLevel="0" collapsed="false"/>
    <row r="1202" customFormat="false" ht="15.75" hidden="false" customHeight="true" outlineLevel="0" collapsed="false"/>
    <row r="1203" customFormat="false" ht="15.75" hidden="false" customHeight="true" outlineLevel="0" collapsed="false"/>
    <row r="1204" customFormat="false" ht="15.75" hidden="false" customHeight="true" outlineLevel="0" collapsed="false"/>
    <row r="1205" customFormat="false" ht="15.75" hidden="false" customHeight="true" outlineLevel="0" collapsed="false"/>
    <row r="1206" customFormat="false" ht="15.75" hidden="false" customHeight="true" outlineLevel="0" collapsed="false"/>
    <row r="1207" customFormat="false" ht="15.75" hidden="false" customHeight="true" outlineLevel="0" collapsed="false"/>
    <row r="1208" customFormat="false" ht="15.75" hidden="false" customHeight="true" outlineLevel="0" collapsed="false"/>
    <row r="1209" customFormat="false" ht="15.75" hidden="false" customHeight="true" outlineLevel="0" collapsed="false"/>
    <row r="1210" customFormat="false" ht="15.75" hidden="false" customHeight="true" outlineLevel="0" collapsed="false"/>
    <row r="1211" customFormat="false" ht="15.75" hidden="false" customHeight="true" outlineLevel="0" collapsed="false"/>
    <row r="1212" customFormat="false" ht="15.75" hidden="false" customHeight="true" outlineLevel="0" collapsed="false"/>
    <row r="1213" customFormat="false" ht="15.75" hidden="false" customHeight="true" outlineLevel="0" collapsed="false"/>
    <row r="1214" customFormat="false" ht="15.75" hidden="false" customHeight="true" outlineLevel="0" collapsed="false"/>
    <row r="1215" customFormat="false" ht="15.75" hidden="false" customHeight="true" outlineLevel="0" collapsed="false"/>
    <row r="1216" customFormat="false" ht="15.75" hidden="false" customHeight="true" outlineLevel="0" collapsed="false"/>
    <row r="1217" customFormat="false" ht="15.75" hidden="false" customHeight="true" outlineLevel="0" collapsed="false"/>
    <row r="1218" customFormat="false" ht="15.75" hidden="false" customHeight="true" outlineLevel="0" collapsed="false"/>
    <row r="1219" customFormat="false" ht="15.75" hidden="false" customHeight="true" outlineLevel="0" collapsed="false"/>
    <row r="1220" customFormat="false" ht="15.75" hidden="false" customHeight="true" outlineLevel="0" collapsed="false"/>
    <row r="1221" customFormat="false" ht="15.75" hidden="false" customHeight="true" outlineLevel="0" collapsed="false"/>
    <row r="1222" customFormat="false" ht="15.75" hidden="false" customHeight="true" outlineLevel="0" collapsed="false"/>
    <row r="1223" customFormat="false" ht="15.75" hidden="false" customHeight="true" outlineLevel="0" collapsed="false"/>
    <row r="1224" customFormat="false" ht="15.75" hidden="false" customHeight="true" outlineLevel="0" collapsed="false"/>
    <row r="1225" customFormat="false" ht="15.75" hidden="false" customHeight="true" outlineLevel="0" collapsed="false"/>
    <row r="1226" customFormat="false" ht="15.75" hidden="false" customHeight="true" outlineLevel="0" collapsed="false"/>
    <row r="1227" customFormat="false" ht="15.75" hidden="false" customHeight="true" outlineLevel="0" collapsed="false"/>
    <row r="1228" customFormat="false" ht="15.75" hidden="false" customHeight="true" outlineLevel="0" collapsed="false"/>
    <row r="1229" customFormat="false" ht="15.75" hidden="false" customHeight="true" outlineLevel="0" collapsed="false"/>
    <row r="1230" customFormat="false" ht="15.75" hidden="false" customHeight="true" outlineLevel="0" collapsed="false"/>
    <row r="1231" customFormat="false" ht="15.75" hidden="false" customHeight="true" outlineLevel="0" collapsed="false"/>
    <row r="1232" customFormat="false" ht="15.75" hidden="false" customHeight="true" outlineLevel="0" collapsed="false"/>
    <row r="1233" customFormat="false" ht="15.75" hidden="false" customHeight="true" outlineLevel="0" collapsed="false"/>
    <row r="1234" customFormat="false" ht="15.75" hidden="false" customHeight="true" outlineLevel="0" collapsed="false"/>
    <row r="1235" customFormat="false" ht="15.75" hidden="false" customHeight="true" outlineLevel="0" collapsed="false"/>
    <row r="1236" customFormat="false" ht="15.75" hidden="false" customHeight="true" outlineLevel="0" collapsed="false"/>
    <row r="1237" customFormat="false" ht="15.75" hidden="false" customHeight="true" outlineLevel="0" collapsed="false"/>
    <row r="1238" customFormat="false" ht="15.75" hidden="false" customHeight="true" outlineLevel="0" collapsed="false"/>
    <row r="1239" customFormat="false" ht="15.75" hidden="false" customHeight="true" outlineLevel="0" collapsed="false"/>
    <row r="1240" customFormat="false" ht="15.75" hidden="false" customHeight="true" outlineLevel="0" collapsed="false"/>
    <row r="1241" customFormat="false" ht="15.75" hidden="false" customHeight="true" outlineLevel="0" collapsed="false"/>
    <row r="1242" customFormat="false" ht="15.75" hidden="false" customHeight="true" outlineLevel="0" collapsed="false"/>
    <row r="1243" customFormat="false" ht="15.75" hidden="false" customHeight="true" outlineLevel="0" collapsed="false"/>
    <row r="1244" customFormat="false" ht="15.75" hidden="false" customHeight="true" outlineLevel="0" collapsed="false"/>
    <row r="1245" customFormat="false" ht="15.75" hidden="false" customHeight="true" outlineLevel="0" collapsed="false"/>
    <row r="1246" customFormat="false" ht="15.75" hidden="false" customHeight="true" outlineLevel="0" collapsed="false"/>
    <row r="1247" customFormat="false" ht="15.75" hidden="false" customHeight="true" outlineLevel="0" collapsed="false"/>
    <row r="1248" customFormat="false" ht="15.75" hidden="false" customHeight="true" outlineLevel="0" collapsed="false"/>
    <row r="1249" customFormat="false" ht="15.75" hidden="false" customHeight="true" outlineLevel="0" collapsed="false"/>
    <row r="1250" customFormat="false" ht="15.75" hidden="false" customHeight="true" outlineLevel="0" collapsed="false"/>
    <row r="1251" customFormat="false" ht="15.75" hidden="false" customHeight="true" outlineLevel="0" collapsed="false"/>
    <row r="1252" customFormat="false" ht="15.75" hidden="false" customHeight="true" outlineLevel="0" collapsed="false"/>
    <row r="1253" customFormat="false" ht="15.75" hidden="false" customHeight="true" outlineLevel="0" collapsed="false"/>
    <row r="1254" customFormat="false" ht="15.75" hidden="false" customHeight="true" outlineLevel="0" collapsed="false"/>
    <row r="1255" customFormat="false" ht="15.75" hidden="false" customHeight="true" outlineLevel="0" collapsed="false"/>
    <row r="1256" customFormat="false" ht="15.75" hidden="false" customHeight="true" outlineLevel="0" collapsed="false"/>
    <row r="1257" customFormat="false" ht="15.75" hidden="false" customHeight="true" outlineLevel="0" collapsed="false"/>
    <row r="1258" customFormat="false" ht="15.75" hidden="false" customHeight="true" outlineLevel="0" collapsed="false"/>
    <row r="1259" customFormat="false" ht="15.75" hidden="false" customHeight="true" outlineLevel="0" collapsed="false"/>
    <row r="1260" customFormat="false" ht="15.75" hidden="false" customHeight="true" outlineLevel="0" collapsed="false"/>
    <row r="1261" customFormat="false" ht="15.75" hidden="false" customHeight="true" outlineLevel="0" collapsed="false"/>
    <row r="1262" customFormat="false" ht="15.75" hidden="false" customHeight="true" outlineLevel="0" collapsed="false"/>
    <row r="1263" customFormat="false" ht="15.75" hidden="false" customHeight="true" outlineLevel="0" collapsed="false"/>
    <row r="1264" customFormat="false" ht="15.75" hidden="false" customHeight="true" outlineLevel="0" collapsed="false"/>
    <row r="1265" customFormat="false" ht="15.75" hidden="false" customHeight="true" outlineLevel="0" collapsed="false"/>
    <row r="1266" customFormat="false" ht="15.75" hidden="false" customHeight="true" outlineLevel="0" collapsed="false"/>
    <row r="1267" customFormat="false" ht="15.75" hidden="false" customHeight="true" outlineLevel="0" collapsed="false"/>
    <row r="1268" customFormat="false" ht="15.75" hidden="false" customHeight="true" outlineLevel="0" collapsed="false"/>
    <row r="1269" customFormat="false" ht="15.75" hidden="false" customHeight="true" outlineLevel="0" collapsed="false"/>
    <row r="1270" customFormat="false" ht="15.75" hidden="false" customHeight="true" outlineLevel="0" collapsed="false"/>
    <row r="1271" customFormat="false" ht="15.75" hidden="false" customHeight="true" outlineLevel="0" collapsed="false"/>
    <row r="1272" customFormat="false" ht="15.75" hidden="false" customHeight="true" outlineLevel="0" collapsed="false"/>
    <row r="1273" customFormat="false" ht="15.75" hidden="false" customHeight="true" outlineLevel="0" collapsed="false"/>
    <row r="1274" customFormat="false" ht="15.75" hidden="false" customHeight="true" outlineLevel="0" collapsed="false"/>
    <row r="1275" customFormat="false" ht="15.75" hidden="false" customHeight="true" outlineLevel="0" collapsed="false"/>
    <row r="1276" customFormat="false" ht="15.75" hidden="false" customHeight="true" outlineLevel="0" collapsed="false"/>
    <row r="1277" customFormat="false" ht="15.75" hidden="false" customHeight="true" outlineLevel="0" collapsed="false"/>
    <row r="1278" customFormat="false" ht="15.75" hidden="false" customHeight="true" outlineLevel="0" collapsed="false"/>
    <row r="1279" customFormat="false" ht="15.75" hidden="false" customHeight="true" outlineLevel="0" collapsed="false"/>
    <row r="1280" customFormat="false" ht="15.75" hidden="false" customHeight="true" outlineLevel="0" collapsed="false"/>
    <row r="1281" customFormat="false" ht="15.75" hidden="false" customHeight="true" outlineLevel="0" collapsed="false"/>
    <row r="1282" customFormat="false" ht="15.75" hidden="false" customHeight="true" outlineLevel="0" collapsed="false"/>
    <row r="1283" customFormat="false" ht="15.75" hidden="false" customHeight="true" outlineLevel="0" collapsed="false"/>
    <row r="1284" customFormat="false" ht="15.75" hidden="false" customHeight="true" outlineLevel="0" collapsed="false"/>
    <row r="1285" customFormat="false" ht="15.75" hidden="false" customHeight="true" outlineLevel="0" collapsed="false"/>
    <row r="1286" customFormat="false" ht="15.75" hidden="false" customHeight="true" outlineLevel="0" collapsed="false"/>
    <row r="1287" customFormat="false" ht="15.75" hidden="false" customHeight="true" outlineLevel="0" collapsed="false"/>
    <row r="1288" customFormat="false" ht="15.75" hidden="false" customHeight="true" outlineLevel="0" collapsed="false"/>
    <row r="1289" customFormat="false" ht="15.75" hidden="false" customHeight="true" outlineLevel="0" collapsed="false"/>
    <row r="1290" customFormat="false" ht="15.75" hidden="false" customHeight="true" outlineLevel="0" collapsed="false"/>
    <row r="1291" customFormat="false" ht="15.75" hidden="false" customHeight="true" outlineLevel="0" collapsed="false"/>
    <row r="1292" customFormat="false" ht="15.75" hidden="false" customHeight="true" outlineLevel="0" collapsed="false"/>
    <row r="1293" customFormat="false" ht="15.75" hidden="false" customHeight="true" outlineLevel="0" collapsed="false"/>
    <row r="1294" customFormat="false" ht="15.75" hidden="false" customHeight="true" outlineLevel="0" collapsed="false"/>
    <row r="1295" customFormat="false" ht="15.75" hidden="false" customHeight="true" outlineLevel="0" collapsed="false"/>
    <row r="1296" customFormat="false" ht="15.75" hidden="false" customHeight="true" outlineLevel="0" collapsed="false"/>
    <row r="1297" customFormat="false" ht="15.75" hidden="false" customHeight="true" outlineLevel="0" collapsed="false"/>
    <row r="1298" customFormat="false" ht="15.75" hidden="false" customHeight="true" outlineLevel="0" collapsed="false"/>
    <row r="1299" customFormat="false" ht="15.75" hidden="false" customHeight="true" outlineLevel="0" collapsed="false"/>
    <row r="1300" customFormat="false" ht="15.75" hidden="false" customHeight="true" outlineLevel="0" collapsed="false"/>
    <row r="1301" customFormat="false" ht="15.75" hidden="false" customHeight="true" outlineLevel="0" collapsed="false"/>
    <row r="1302" customFormat="false" ht="15.75" hidden="false" customHeight="true" outlineLevel="0" collapsed="false"/>
    <row r="1303" customFormat="false" ht="15.75" hidden="false" customHeight="true" outlineLevel="0" collapsed="false"/>
    <row r="1304" customFormat="false" ht="15.75" hidden="false" customHeight="true" outlineLevel="0" collapsed="false"/>
    <row r="1305" customFormat="false" ht="15.75" hidden="false" customHeight="true" outlineLevel="0" collapsed="false"/>
    <row r="1306" customFormat="false" ht="15.75" hidden="false" customHeight="true" outlineLevel="0" collapsed="false"/>
    <row r="1307" customFormat="false" ht="15.75" hidden="false" customHeight="true" outlineLevel="0" collapsed="false"/>
    <row r="1308" customFormat="false" ht="15.75" hidden="false" customHeight="true" outlineLevel="0" collapsed="false"/>
    <row r="1309" customFormat="false" ht="15.75" hidden="false" customHeight="true" outlineLevel="0" collapsed="false"/>
    <row r="1310" customFormat="false" ht="15.75" hidden="false" customHeight="true" outlineLevel="0" collapsed="false"/>
    <row r="1311" customFormat="false" ht="15.75" hidden="false" customHeight="true" outlineLevel="0" collapsed="false"/>
    <row r="1312" customFormat="false" ht="15.75" hidden="false" customHeight="true" outlineLevel="0" collapsed="false"/>
    <row r="1313" customFormat="false" ht="15.75" hidden="false" customHeight="true" outlineLevel="0" collapsed="false"/>
    <row r="1314" customFormat="false" ht="15.75" hidden="false" customHeight="true" outlineLevel="0" collapsed="false"/>
    <row r="1315" customFormat="false" ht="15.75" hidden="false" customHeight="true" outlineLevel="0" collapsed="false"/>
    <row r="1316" customFormat="false" ht="15.75" hidden="false" customHeight="true" outlineLevel="0" collapsed="false"/>
    <row r="1317" customFormat="false" ht="15.75" hidden="false" customHeight="true" outlineLevel="0" collapsed="false"/>
  </sheetData>
  <mergeCells count="40">
    <mergeCell ref="A1:M1"/>
    <mergeCell ref="A2:M2"/>
    <mergeCell ref="A3:A9"/>
    <mergeCell ref="B3:C9"/>
    <mergeCell ref="D3:G3"/>
    <mergeCell ref="D4:G4"/>
    <mergeCell ref="D5:G5"/>
    <mergeCell ref="L5:M5"/>
    <mergeCell ref="D6:G6"/>
    <mergeCell ref="D7:G7"/>
    <mergeCell ref="N7:N8"/>
    <mergeCell ref="D8:G8"/>
    <mergeCell ref="D9:G9"/>
    <mergeCell ref="A10:M10"/>
    <mergeCell ref="A11:A12"/>
    <mergeCell ref="B11:B12"/>
    <mergeCell ref="C11:C12"/>
    <mergeCell ref="D11:D12"/>
    <mergeCell ref="E11:E12"/>
    <mergeCell ref="F11:F12"/>
    <mergeCell ref="G11:I11"/>
    <mergeCell ref="J11:L11"/>
    <mergeCell ref="M11:M12"/>
    <mergeCell ref="B21:C21"/>
    <mergeCell ref="B37:C37"/>
    <mergeCell ref="B38:C38"/>
    <mergeCell ref="B58:C58"/>
    <mergeCell ref="B80:C80"/>
    <mergeCell ref="B101:C101"/>
    <mergeCell ref="B152:C152"/>
    <mergeCell ref="B153:C153"/>
    <mergeCell ref="B185:C185"/>
    <mergeCell ref="B196:C196"/>
    <mergeCell ref="B241:C241"/>
    <mergeCell ref="B317:C317"/>
    <mergeCell ref="B325:C325"/>
    <mergeCell ref="B331:C331"/>
    <mergeCell ref="B335:C335"/>
    <mergeCell ref="A343:M343"/>
    <mergeCell ref="K345:M34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C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4.38"/>
    <col collapsed="false" customWidth="true" hidden="false" outlineLevel="0" max="2" min="2" style="0" width="31.75"/>
    <col collapsed="false" customWidth="true" hidden="false" outlineLevel="0" max="29" min="3" style="0" width="14.38"/>
    <col collapsed="false" customWidth="true" hidden="false" outlineLevel="0" max="1025" min="30" style="0" width="12.63"/>
  </cols>
  <sheetData>
    <row r="1" customFormat="false" ht="15" hidden="false" customHeight="false" outlineLevel="0" collapsed="false">
      <c r="A1" s="97"/>
      <c r="B1" s="97"/>
      <c r="C1" s="97"/>
      <c r="D1" s="97"/>
      <c r="E1" s="97"/>
      <c r="F1" s="97"/>
      <c r="G1" s="97"/>
      <c r="H1" s="97"/>
      <c r="I1" s="97"/>
      <c r="J1" s="97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</row>
    <row r="2" customFormat="false" ht="15" hidden="false" customHeight="true" outlineLevel="0" collapsed="false">
      <c r="A2" s="99"/>
      <c r="B2" s="100"/>
      <c r="C2" s="100"/>
      <c r="D2" s="5" t="s">
        <v>0</v>
      </c>
      <c r="E2" s="5"/>
      <c r="F2" s="5"/>
      <c r="G2" s="5"/>
      <c r="H2" s="101"/>
      <c r="I2" s="102"/>
      <c r="J2" s="103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</row>
    <row r="3" customFormat="false" ht="15" hidden="false" customHeight="true" outlineLevel="0" collapsed="false">
      <c r="A3" s="99"/>
      <c r="B3" s="100"/>
      <c r="C3" s="100"/>
      <c r="D3" s="7" t="s">
        <v>1</v>
      </c>
      <c r="E3" s="7"/>
      <c r="F3" s="7"/>
      <c r="G3" s="7"/>
      <c r="H3" s="103"/>
      <c r="I3" s="103"/>
      <c r="J3" s="103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</row>
    <row r="4" customFormat="false" ht="15" hidden="false" customHeight="true" outlineLevel="0" collapsed="false">
      <c r="A4" s="99"/>
      <c r="B4" s="100"/>
      <c r="C4" s="100"/>
      <c r="D4" s="5" t="s">
        <v>3</v>
      </c>
      <c r="E4" s="5"/>
      <c r="F4" s="5"/>
      <c r="G4" s="5"/>
      <c r="H4" s="103"/>
      <c r="I4" s="103"/>
      <c r="J4" s="103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</row>
    <row r="5" customFormat="false" ht="15" hidden="false" customHeight="true" outlineLevel="0" collapsed="false">
      <c r="A5" s="99"/>
      <c r="B5" s="100"/>
      <c r="C5" s="100"/>
      <c r="D5" s="11" t="s">
        <v>4</v>
      </c>
      <c r="E5" s="11"/>
      <c r="F5" s="11"/>
      <c r="G5" s="11"/>
      <c r="H5" s="103"/>
      <c r="I5" s="103"/>
      <c r="J5" s="103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</row>
    <row r="6" customFormat="false" ht="15" hidden="false" customHeight="true" outlineLevel="0" collapsed="false">
      <c r="A6" s="99"/>
      <c r="B6" s="100"/>
      <c r="C6" s="100"/>
      <c r="D6" s="7" t="s">
        <v>6</v>
      </c>
      <c r="E6" s="7"/>
      <c r="F6" s="7"/>
      <c r="G6" s="7"/>
      <c r="H6" s="103"/>
      <c r="I6" s="104"/>
      <c r="J6" s="105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</row>
    <row r="7" customFormat="false" ht="15" hidden="false" customHeight="true" outlineLevel="0" collapsed="false">
      <c r="A7" s="99"/>
      <c r="B7" s="100"/>
      <c r="C7" s="100"/>
      <c r="D7" s="17" t="s">
        <v>8</v>
      </c>
      <c r="E7" s="17"/>
      <c r="F7" s="17"/>
      <c r="G7" s="17"/>
      <c r="H7" s="103"/>
      <c r="I7" s="103"/>
      <c r="J7" s="103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customFormat="false" ht="15" hidden="false" customHeight="true" outlineLevel="0" collapsed="false">
      <c r="A8" s="99"/>
      <c r="B8" s="100"/>
      <c r="C8" s="100"/>
      <c r="D8" s="19" t="s">
        <v>9</v>
      </c>
      <c r="E8" s="19"/>
      <c r="F8" s="19"/>
      <c r="G8" s="19"/>
      <c r="H8" s="103"/>
      <c r="I8" s="103"/>
      <c r="J8" s="103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</row>
    <row r="9" customFormat="false" ht="15" hidden="false" customHeight="false" outlineLevel="0" collapsed="false">
      <c r="A9" s="106"/>
      <c r="B9" s="98"/>
      <c r="C9" s="98"/>
      <c r="D9" s="98"/>
      <c r="E9" s="98"/>
      <c r="F9" s="98"/>
      <c r="G9" s="98"/>
      <c r="H9" s="103"/>
      <c r="I9" s="103"/>
      <c r="J9" s="103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</row>
    <row r="10" customFormat="false" ht="15" hidden="false" customHeight="false" outlineLevel="0" collapsed="false">
      <c r="A10" s="97" t="s">
        <v>992</v>
      </c>
      <c r="B10" s="97"/>
      <c r="C10" s="97"/>
      <c r="D10" s="97"/>
      <c r="E10" s="97"/>
      <c r="F10" s="97"/>
      <c r="G10" s="97"/>
      <c r="H10" s="97"/>
      <c r="I10" s="97"/>
      <c r="J10" s="97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customFormat="false" ht="15" hidden="false" customHeight="false" outlineLevel="0" collapsed="false">
      <c r="A11" s="107"/>
      <c r="B11" s="108"/>
      <c r="C11" s="109"/>
      <c r="D11" s="103"/>
      <c r="E11" s="103"/>
      <c r="F11" s="103"/>
      <c r="G11" s="103"/>
      <c r="H11" s="103"/>
      <c r="I11" s="103"/>
      <c r="J11" s="103"/>
      <c r="K11" s="103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</row>
    <row r="12" customFormat="false" ht="15" hidden="false" customHeight="false" outlineLevel="0" collapsed="false">
      <c r="A12" s="110" t="s">
        <v>993</v>
      </c>
      <c r="B12" s="111" t="s">
        <v>343</v>
      </c>
      <c r="C12" s="112" t="s">
        <v>14</v>
      </c>
      <c r="D12" s="113"/>
      <c r="E12" s="113"/>
      <c r="F12" s="113"/>
      <c r="G12" s="113"/>
      <c r="H12" s="113"/>
      <c r="I12" s="113"/>
      <c r="J12" s="113"/>
      <c r="K12" s="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</row>
    <row r="13" customFormat="false" ht="15" hidden="false" customHeight="false" outlineLevel="0" collapsed="false">
      <c r="A13" s="114" t="s">
        <v>12</v>
      </c>
      <c r="B13" s="115" t="s">
        <v>10</v>
      </c>
      <c r="C13" s="115" t="s">
        <v>14</v>
      </c>
      <c r="D13" s="115" t="s">
        <v>994</v>
      </c>
      <c r="E13" s="115" t="s">
        <v>995</v>
      </c>
      <c r="F13" s="115" t="s">
        <v>20</v>
      </c>
      <c r="G13" s="115" t="s">
        <v>996</v>
      </c>
      <c r="H13" s="114"/>
      <c r="I13" s="114"/>
      <c r="J13" s="114" t="s">
        <v>997</v>
      </c>
      <c r="K13" s="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</row>
    <row r="14" customFormat="false" ht="15" hidden="false" customHeight="false" outlineLevel="0" collapsed="false">
      <c r="A14" s="116" t="n">
        <v>37400</v>
      </c>
      <c r="B14" s="117" t="s">
        <v>343</v>
      </c>
      <c r="C14" s="118" t="s">
        <v>14</v>
      </c>
      <c r="D14" s="119" t="n">
        <v>1</v>
      </c>
      <c r="E14" s="120" t="n">
        <v>44.14</v>
      </c>
      <c r="F14" s="120" t="n">
        <v>0</v>
      </c>
      <c r="G14" s="120" t="n">
        <f aca="false">E14+F14</f>
        <v>44.14</v>
      </c>
      <c r="H14" s="121" t="n">
        <f aca="false">E14*D14</f>
        <v>44.14</v>
      </c>
      <c r="I14" s="121" t="n">
        <f aca="false">F14*D14</f>
        <v>0</v>
      </c>
      <c r="J14" s="121" t="n">
        <f aca="false">G14*D14</f>
        <v>44.14</v>
      </c>
      <c r="K14" s="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</row>
    <row r="15" customFormat="false" ht="15" hidden="false" customHeight="false" outlineLevel="0" collapsed="false">
      <c r="A15" s="116" t="n">
        <v>88316</v>
      </c>
      <c r="B15" s="117" t="s">
        <v>998</v>
      </c>
      <c r="C15" s="118" t="s">
        <v>999</v>
      </c>
      <c r="D15" s="119" t="n">
        <v>0.3</v>
      </c>
      <c r="E15" s="120" t="n">
        <v>6.52</v>
      </c>
      <c r="F15" s="120" t="n">
        <v>14.85</v>
      </c>
      <c r="G15" s="120" t="n">
        <f aca="false">E15+F15</f>
        <v>21.37</v>
      </c>
      <c r="H15" s="121" t="n">
        <f aca="false">E15*D15</f>
        <v>1.956</v>
      </c>
      <c r="I15" s="121" t="n">
        <f aca="false">F15*D15</f>
        <v>4.455</v>
      </c>
      <c r="J15" s="121" t="n">
        <f aca="false">G15*D15</f>
        <v>6.411</v>
      </c>
      <c r="K15" s="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</row>
    <row r="16" customFormat="false" ht="15" hidden="false" customHeight="false" outlineLevel="0" collapsed="false">
      <c r="A16" s="122"/>
      <c r="B16" s="122"/>
      <c r="C16" s="122"/>
      <c r="D16" s="122"/>
      <c r="E16" s="122"/>
      <c r="F16" s="122"/>
      <c r="G16" s="123" t="s">
        <v>1000</v>
      </c>
      <c r="H16" s="124" t="n">
        <f aca="false">SUM(H14:H15)</f>
        <v>46.096</v>
      </c>
      <c r="I16" s="124" t="n">
        <f aca="false">SUM(I14:I15)</f>
        <v>4.455</v>
      </c>
      <c r="J16" s="124" t="n">
        <f aca="false">SUM(J14:J15)</f>
        <v>50.551</v>
      </c>
      <c r="K16" s="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</row>
    <row r="17" customFormat="false" ht="15" hidden="false" customHeight="false" outlineLevel="0" collapsed="false">
      <c r="A17" s="110" t="s">
        <v>1001</v>
      </c>
      <c r="B17" s="111" t="s">
        <v>355</v>
      </c>
      <c r="C17" s="112" t="s">
        <v>14</v>
      </c>
      <c r="D17" s="113"/>
      <c r="E17" s="113"/>
      <c r="F17" s="113"/>
      <c r="G17" s="113"/>
      <c r="H17" s="113"/>
      <c r="I17" s="113"/>
      <c r="J17" s="113"/>
      <c r="K17" s="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</row>
    <row r="18" customFormat="false" ht="15" hidden="false" customHeight="false" outlineLevel="0" collapsed="false">
      <c r="A18" s="114" t="s">
        <v>12</v>
      </c>
      <c r="B18" s="115" t="s">
        <v>10</v>
      </c>
      <c r="C18" s="115" t="s">
        <v>14</v>
      </c>
      <c r="D18" s="115" t="s">
        <v>994</v>
      </c>
      <c r="E18" s="115" t="s">
        <v>995</v>
      </c>
      <c r="F18" s="115" t="s">
        <v>20</v>
      </c>
      <c r="G18" s="115" t="s">
        <v>996</v>
      </c>
      <c r="H18" s="114"/>
      <c r="I18" s="114"/>
      <c r="J18" s="114" t="s">
        <v>997</v>
      </c>
      <c r="K18" s="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</row>
    <row r="19" customFormat="false" ht="15" hidden="false" customHeight="false" outlineLevel="0" collapsed="false">
      <c r="A19" s="116" t="n">
        <v>37401</v>
      </c>
      <c r="B19" s="117" t="s">
        <v>355</v>
      </c>
      <c r="C19" s="118" t="s">
        <v>14</v>
      </c>
      <c r="D19" s="119" t="n">
        <v>1</v>
      </c>
      <c r="E19" s="120" t="n">
        <v>44.14</v>
      </c>
      <c r="F19" s="120" t="n">
        <v>0</v>
      </c>
      <c r="G19" s="120" t="n">
        <f aca="false">E19+F19</f>
        <v>44.14</v>
      </c>
      <c r="H19" s="121" t="n">
        <f aca="false">E19*D19</f>
        <v>44.14</v>
      </c>
      <c r="I19" s="121" t="n">
        <f aca="false">F19*D19</f>
        <v>0</v>
      </c>
      <c r="J19" s="121" t="n">
        <f aca="false">G19*D19</f>
        <v>44.14</v>
      </c>
      <c r="K19" s="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customFormat="false" ht="15" hidden="false" customHeight="false" outlineLevel="0" collapsed="false">
      <c r="A20" s="116" t="n">
        <v>88316</v>
      </c>
      <c r="B20" s="117" t="s">
        <v>998</v>
      </c>
      <c r="C20" s="118" t="s">
        <v>999</v>
      </c>
      <c r="D20" s="119" t="n">
        <v>0.3</v>
      </c>
      <c r="E20" s="120" t="n">
        <v>6.52</v>
      </c>
      <c r="F20" s="120" t="n">
        <v>14.85</v>
      </c>
      <c r="G20" s="120" t="n">
        <f aca="false">E20+F20</f>
        <v>21.37</v>
      </c>
      <c r="H20" s="121" t="n">
        <f aca="false">E20*D20</f>
        <v>1.956</v>
      </c>
      <c r="I20" s="121" t="n">
        <f aca="false">F20*D20</f>
        <v>4.455</v>
      </c>
      <c r="J20" s="121" t="n">
        <f aca="false">G20*D20</f>
        <v>6.411</v>
      </c>
      <c r="K20" s="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</row>
    <row r="21" customFormat="false" ht="15" hidden="false" customHeight="false" outlineLevel="0" collapsed="false">
      <c r="A21" s="122"/>
      <c r="B21" s="122"/>
      <c r="C21" s="122"/>
      <c r="D21" s="122"/>
      <c r="E21" s="122"/>
      <c r="F21" s="122"/>
      <c r="G21" s="123" t="s">
        <v>1000</v>
      </c>
      <c r="H21" s="124" t="n">
        <f aca="false">SUM(H19:H20)</f>
        <v>46.096</v>
      </c>
      <c r="I21" s="124" t="n">
        <f aca="false">SUM(I19:I20)</f>
        <v>4.455</v>
      </c>
      <c r="J21" s="124" t="n">
        <f aca="false">SUM(J19:J20)</f>
        <v>50.551</v>
      </c>
      <c r="K21" s="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</row>
    <row r="22" customFormat="false" ht="15" hidden="false" customHeight="false" outlineLevel="0" collapsed="false">
      <c r="A22" s="110" t="s">
        <v>867</v>
      </c>
      <c r="B22" s="111" t="s">
        <v>868</v>
      </c>
      <c r="C22" s="112" t="s">
        <v>37</v>
      </c>
      <c r="D22" s="113"/>
      <c r="E22" s="113"/>
      <c r="F22" s="113"/>
      <c r="G22" s="113"/>
      <c r="H22" s="113"/>
      <c r="I22" s="113"/>
      <c r="J22" s="113"/>
      <c r="K22" s="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</row>
    <row r="23" customFormat="false" ht="15" hidden="false" customHeight="false" outlineLevel="0" collapsed="false">
      <c r="A23" s="114" t="s">
        <v>12</v>
      </c>
      <c r="B23" s="115" t="s">
        <v>10</v>
      </c>
      <c r="C23" s="115" t="s">
        <v>14</v>
      </c>
      <c r="D23" s="115" t="s">
        <v>994</v>
      </c>
      <c r="E23" s="115" t="s">
        <v>995</v>
      </c>
      <c r="F23" s="115" t="s">
        <v>20</v>
      </c>
      <c r="G23" s="115" t="s">
        <v>996</v>
      </c>
      <c r="H23" s="114"/>
      <c r="I23" s="114"/>
      <c r="J23" s="114" t="s">
        <v>997</v>
      </c>
      <c r="K23" s="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</row>
    <row r="24" customFormat="false" ht="15" hidden="false" customHeight="false" outlineLevel="0" collapsed="false">
      <c r="A24" s="116" t="n">
        <v>4823</v>
      </c>
      <c r="B24" s="117" t="s">
        <v>1002</v>
      </c>
      <c r="C24" s="118" t="s">
        <v>920</v>
      </c>
      <c r="D24" s="119" t="n">
        <f aca="false">0.5228/0.9</f>
        <v>0.580888888888889</v>
      </c>
      <c r="E24" s="120" t="n">
        <v>37.29</v>
      </c>
      <c r="F24" s="120" t="n">
        <v>0</v>
      </c>
      <c r="G24" s="120" t="n">
        <f aca="false">E24+F24</f>
        <v>37.29</v>
      </c>
      <c r="H24" s="121" t="n">
        <f aca="false">E24*D24</f>
        <v>21.6613466666667</v>
      </c>
      <c r="I24" s="121" t="n">
        <f aca="false">F24*D24</f>
        <v>0</v>
      </c>
      <c r="J24" s="121" t="n">
        <f aca="false">G24*D24</f>
        <v>21.6613466666667</v>
      </c>
      <c r="K24" s="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customFormat="false" ht="15" hidden="false" customHeight="false" outlineLevel="0" collapsed="false">
      <c r="A25" s="116" t="n">
        <v>7568</v>
      </c>
      <c r="B25" s="117" t="s">
        <v>1003</v>
      </c>
      <c r="C25" s="118" t="s">
        <v>14</v>
      </c>
      <c r="D25" s="119" t="n">
        <f aca="false">6/0.9</f>
        <v>6.66666666666667</v>
      </c>
      <c r="E25" s="120" t="n">
        <v>0.73</v>
      </c>
      <c r="F25" s="120" t="n">
        <v>0</v>
      </c>
      <c r="G25" s="120" t="n">
        <f aca="false">E25+F25</f>
        <v>0.73</v>
      </c>
      <c r="H25" s="121" t="n">
        <f aca="false">E25*D25</f>
        <v>4.86666666666667</v>
      </c>
      <c r="I25" s="121" t="n">
        <f aca="false">F25*D25</f>
        <v>0</v>
      </c>
      <c r="J25" s="121" t="n">
        <f aca="false">G25*D25</f>
        <v>4.86666666666667</v>
      </c>
      <c r="K25" s="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</row>
    <row r="26" customFormat="false" ht="15" hidden="false" customHeight="false" outlineLevel="0" collapsed="false">
      <c r="A26" s="116" t="n">
        <v>11795</v>
      </c>
      <c r="B26" s="117" t="s">
        <v>1004</v>
      </c>
      <c r="C26" s="118" t="s">
        <v>1005</v>
      </c>
      <c r="D26" s="119" t="n">
        <f aca="false">1.005/0.9</f>
        <v>1.11666666666667</v>
      </c>
      <c r="E26" s="120" t="n">
        <v>701.88</v>
      </c>
      <c r="F26" s="120" t="n">
        <v>0</v>
      </c>
      <c r="G26" s="120" t="n">
        <f aca="false">E26+F26</f>
        <v>701.88</v>
      </c>
      <c r="H26" s="121" t="n">
        <f aca="false">E26*D26</f>
        <v>783.766</v>
      </c>
      <c r="I26" s="121" t="n">
        <f aca="false">F26*D26</f>
        <v>0</v>
      </c>
      <c r="J26" s="121" t="n">
        <f aca="false">G26*D26</f>
        <v>783.766</v>
      </c>
      <c r="K26" s="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</row>
    <row r="27" customFormat="false" ht="15" hidden="false" customHeight="false" outlineLevel="0" collapsed="false">
      <c r="A27" s="116" t="n">
        <v>37329</v>
      </c>
      <c r="B27" s="117" t="s">
        <v>1006</v>
      </c>
      <c r="C27" s="118" t="s">
        <v>920</v>
      </c>
      <c r="D27" s="119" t="n">
        <f aca="false">0.0211/0.9</f>
        <v>0.0234444444444444</v>
      </c>
      <c r="E27" s="120" t="n">
        <v>86.57</v>
      </c>
      <c r="F27" s="120" t="n">
        <v>0</v>
      </c>
      <c r="G27" s="120" t="n">
        <f aca="false">E27+F27</f>
        <v>86.57</v>
      </c>
      <c r="H27" s="121" t="n">
        <f aca="false">E27*D27</f>
        <v>2.02958555555556</v>
      </c>
      <c r="I27" s="121" t="n">
        <f aca="false">F27*D27</f>
        <v>0</v>
      </c>
      <c r="J27" s="121" t="n">
        <f aca="false">G27*D27</f>
        <v>2.02958555555556</v>
      </c>
      <c r="K27" s="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</row>
    <row r="28" customFormat="false" ht="15" hidden="false" customHeight="false" outlineLevel="0" collapsed="false">
      <c r="A28" s="116" t="n">
        <v>37591</v>
      </c>
      <c r="B28" s="117" t="s">
        <v>1007</v>
      </c>
      <c r="C28" s="118" t="s">
        <v>14</v>
      </c>
      <c r="D28" s="119" t="n">
        <f aca="false">2/0.9</f>
        <v>2.22222222222222</v>
      </c>
      <c r="E28" s="120" t="n">
        <v>28.37</v>
      </c>
      <c r="F28" s="120" t="n">
        <v>0</v>
      </c>
      <c r="G28" s="120" t="n">
        <f aca="false">E28+F28</f>
        <v>28.37</v>
      </c>
      <c r="H28" s="121" t="n">
        <f aca="false">E28*D28</f>
        <v>63.0444444444445</v>
      </c>
      <c r="I28" s="121" t="n">
        <f aca="false">F28*D28</f>
        <v>0</v>
      </c>
      <c r="J28" s="121" t="n">
        <f aca="false">G28*D28</f>
        <v>63.0444444444445</v>
      </c>
      <c r="K28" s="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</row>
    <row r="29" customFormat="false" ht="15" hidden="false" customHeight="false" outlineLevel="0" collapsed="false">
      <c r="A29" s="116" t="n">
        <v>88274</v>
      </c>
      <c r="B29" s="117" t="s">
        <v>1008</v>
      </c>
      <c r="C29" s="118" t="s">
        <v>999</v>
      </c>
      <c r="D29" s="119" t="n">
        <f aca="false">1.4944/0.9</f>
        <v>1.66044444444444</v>
      </c>
      <c r="E29" s="120" t="n">
        <v>6.64</v>
      </c>
      <c r="F29" s="120" t="n">
        <v>23.76</v>
      </c>
      <c r="G29" s="120" t="n">
        <f aca="false">E29+F29</f>
        <v>30.4</v>
      </c>
      <c r="H29" s="121" t="n">
        <f aca="false">E29*D29</f>
        <v>11.0253511111111</v>
      </c>
      <c r="I29" s="121" t="n">
        <f aca="false">F29*D29</f>
        <v>39.45216</v>
      </c>
      <c r="J29" s="121" t="n">
        <f aca="false">G29*D29</f>
        <v>50.4775111111111</v>
      </c>
      <c r="K29" s="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</row>
    <row r="30" customFormat="false" ht="15" hidden="false" customHeight="false" outlineLevel="0" collapsed="false">
      <c r="A30" s="116" t="n">
        <v>88316</v>
      </c>
      <c r="B30" s="117" t="s">
        <v>998</v>
      </c>
      <c r="C30" s="118" t="s">
        <v>999</v>
      </c>
      <c r="D30" s="119" t="n">
        <f aca="false">0.9834/0.9</f>
        <v>1.09266666666667</v>
      </c>
      <c r="E30" s="120" t="n">
        <v>6.52</v>
      </c>
      <c r="F30" s="120" t="n">
        <v>14.85</v>
      </c>
      <c r="G30" s="120" t="n">
        <f aca="false">E30+F30</f>
        <v>21.37</v>
      </c>
      <c r="H30" s="121" t="n">
        <f aca="false">E30*D30</f>
        <v>7.12418666666667</v>
      </c>
      <c r="I30" s="121" t="n">
        <f aca="false">F30*D30</f>
        <v>16.2261</v>
      </c>
      <c r="J30" s="121" t="n">
        <f aca="false">G30*D30</f>
        <v>23.3502866666667</v>
      </c>
      <c r="K30" s="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</row>
    <row r="31" customFormat="false" ht="15" hidden="false" customHeight="false" outlineLevel="0" collapsed="false">
      <c r="A31" s="122"/>
      <c r="B31" s="122"/>
      <c r="C31" s="122"/>
      <c r="D31" s="122"/>
      <c r="E31" s="122"/>
      <c r="F31" s="122"/>
      <c r="G31" s="123" t="s">
        <v>1000</v>
      </c>
      <c r="H31" s="124" t="n">
        <f aca="false">SUM(H24:H30)</f>
        <v>893.517581111111</v>
      </c>
      <c r="I31" s="124" t="n">
        <f aca="false">SUM(I24:I30)</f>
        <v>55.67826</v>
      </c>
      <c r="J31" s="124" t="n">
        <f aca="false">SUM(J24:J30)</f>
        <v>949.195841111111</v>
      </c>
      <c r="K31" s="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</row>
    <row r="32" customFormat="false" ht="15" hidden="false" customHeight="false" outlineLevel="0" collapsed="false">
      <c r="A32" s="125"/>
      <c r="B32" s="125"/>
      <c r="C32" s="125"/>
      <c r="D32" s="125"/>
      <c r="E32" s="125"/>
      <c r="F32" s="125"/>
      <c r="G32" s="125"/>
      <c r="H32" s="125"/>
      <c r="I32" s="125"/>
      <c r="J32" s="125"/>
    </row>
    <row r="33" customFormat="false" ht="15" hidden="false" customHeight="false" outlineLevel="0" collapsed="false">
      <c r="A33" s="110" t="s">
        <v>1009</v>
      </c>
      <c r="B33" s="111" t="s">
        <v>291</v>
      </c>
      <c r="C33" s="112" t="s">
        <v>37</v>
      </c>
      <c r="D33" s="113"/>
      <c r="E33" s="113"/>
      <c r="F33" s="113"/>
      <c r="G33" s="113"/>
      <c r="H33" s="113"/>
      <c r="I33" s="113"/>
      <c r="J33" s="113"/>
      <c r="K33" s="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</row>
    <row r="34" customFormat="false" ht="15" hidden="false" customHeight="false" outlineLevel="0" collapsed="false">
      <c r="A34" s="114" t="s">
        <v>12</v>
      </c>
      <c r="B34" s="115" t="s">
        <v>10</v>
      </c>
      <c r="C34" s="115" t="s">
        <v>14</v>
      </c>
      <c r="D34" s="115" t="s">
        <v>994</v>
      </c>
      <c r="E34" s="115" t="s">
        <v>995</v>
      </c>
      <c r="F34" s="115" t="s">
        <v>20</v>
      </c>
      <c r="G34" s="115" t="s">
        <v>996</v>
      </c>
      <c r="H34" s="114"/>
      <c r="I34" s="114"/>
      <c r="J34" s="114" t="s">
        <v>997</v>
      </c>
      <c r="K34" s="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</row>
    <row r="35" customFormat="false" ht="15" hidden="false" customHeight="false" outlineLevel="0" collapsed="false">
      <c r="A35" s="116" t="n">
        <v>7272</v>
      </c>
      <c r="B35" s="117" t="s">
        <v>1010</v>
      </c>
      <c r="C35" s="118" t="s">
        <v>14</v>
      </c>
      <c r="D35" s="119" t="n">
        <v>25</v>
      </c>
      <c r="E35" s="120" t="n">
        <f aca="false">(3.62+3.89+8.39)/3</f>
        <v>5.3</v>
      </c>
      <c r="F35" s="120" t="n">
        <v>0</v>
      </c>
      <c r="G35" s="120" t="n">
        <f aca="false">E35+F35</f>
        <v>5.3</v>
      </c>
      <c r="H35" s="121" t="n">
        <f aca="false">E35*D35</f>
        <v>132.5</v>
      </c>
      <c r="I35" s="121" t="n">
        <f aca="false">F35*D35</f>
        <v>0</v>
      </c>
      <c r="J35" s="121" t="n">
        <f aca="false">G35*D35</f>
        <v>132.5</v>
      </c>
      <c r="K35" s="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</row>
    <row r="36" customFormat="false" ht="15" hidden="false" customHeight="false" outlineLevel="0" collapsed="false">
      <c r="A36" s="116" t="n">
        <v>88309</v>
      </c>
      <c r="B36" s="117" t="s">
        <v>1011</v>
      </c>
      <c r="C36" s="118" t="s">
        <v>999</v>
      </c>
      <c r="D36" s="119" t="n">
        <v>2.22</v>
      </c>
      <c r="E36" s="120" t="n">
        <v>6.64</v>
      </c>
      <c r="F36" s="120" t="n">
        <v>21.02</v>
      </c>
      <c r="G36" s="120" t="n">
        <f aca="false">E36+F36</f>
        <v>27.66</v>
      </c>
      <c r="H36" s="121" t="n">
        <f aca="false">E36*D36</f>
        <v>14.7408</v>
      </c>
      <c r="I36" s="121" t="n">
        <f aca="false">F36*D36</f>
        <v>46.6644</v>
      </c>
      <c r="J36" s="121" t="n">
        <f aca="false">G36*D36</f>
        <v>61.4052</v>
      </c>
      <c r="K36" s="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</row>
    <row r="37" customFormat="false" ht="15" hidden="false" customHeight="false" outlineLevel="0" collapsed="false">
      <c r="A37" s="116" t="n">
        <v>88316</v>
      </c>
      <c r="B37" s="117" t="s">
        <v>998</v>
      </c>
      <c r="C37" s="118" t="s">
        <v>999</v>
      </c>
      <c r="D37" s="119" t="n">
        <v>1.11</v>
      </c>
      <c r="E37" s="120" t="n">
        <v>6.52</v>
      </c>
      <c r="F37" s="120" t="n">
        <v>14.85</v>
      </c>
      <c r="G37" s="120" t="n">
        <f aca="false">E37+F37</f>
        <v>21.37</v>
      </c>
      <c r="H37" s="121" t="n">
        <f aca="false">E37*D37</f>
        <v>7.2372</v>
      </c>
      <c r="I37" s="121" t="n">
        <f aca="false">F37*D37</f>
        <v>16.4835</v>
      </c>
      <c r="J37" s="121" t="n">
        <f aca="false">G37*D37</f>
        <v>23.7207</v>
      </c>
      <c r="K37" s="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</row>
    <row r="38" customFormat="false" ht="15" hidden="false" customHeight="false" outlineLevel="0" collapsed="false">
      <c r="A38" s="116" t="n">
        <v>100489</v>
      </c>
      <c r="B38" s="117" t="s">
        <v>1012</v>
      </c>
      <c r="C38" s="118" t="s">
        <v>1013</v>
      </c>
      <c r="D38" s="119" t="n">
        <v>0.023</v>
      </c>
      <c r="E38" s="120" t="n">
        <v>435.29</v>
      </c>
      <c r="F38" s="120" t="n">
        <v>48.16</v>
      </c>
      <c r="G38" s="120" t="n">
        <f aca="false">E38+F38</f>
        <v>483.45</v>
      </c>
      <c r="H38" s="121" t="n">
        <f aca="false">E38*D38</f>
        <v>10.01167</v>
      </c>
      <c r="I38" s="121" t="n">
        <f aca="false">F38*D38</f>
        <v>1.10768</v>
      </c>
      <c r="J38" s="121" t="n">
        <f aca="false">G38*D38</f>
        <v>11.11935</v>
      </c>
      <c r="K38" s="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</row>
    <row r="39" customFormat="false" ht="15" hidden="false" customHeight="false" outlineLevel="0" collapsed="false">
      <c r="A39" s="122"/>
      <c r="B39" s="122"/>
      <c r="C39" s="122"/>
      <c r="D39" s="122"/>
      <c r="E39" s="122"/>
      <c r="F39" s="122"/>
      <c r="G39" s="123" t="s">
        <v>1000</v>
      </c>
      <c r="H39" s="124" t="n">
        <f aca="false">SUM(H35:H38)</f>
        <v>164.48967</v>
      </c>
      <c r="I39" s="124" t="n">
        <f aca="false">SUM(I35:I38)</f>
        <v>64.25558</v>
      </c>
      <c r="J39" s="124" t="n">
        <f aca="false">SUM(J35:J38)</f>
        <v>228.74525</v>
      </c>
      <c r="K39" s="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</row>
    <row r="40" customFormat="false" ht="15" hidden="false" customHeight="false" outlineLevel="0" collapsed="false">
      <c r="A40" s="97"/>
      <c r="B40" s="97"/>
      <c r="C40" s="97"/>
      <c r="D40" s="97"/>
      <c r="E40" s="97"/>
      <c r="F40" s="97"/>
      <c r="G40" s="97"/>
      <c r="H40" s="97"/>
      <c r="I40" s="97"/>
      <c r="J40" s="97"/>
    </row>
  </sheetData>
  <mergeCells count="12">
    <mergeCell ref="A1:J1"/>
    <mergeCell ref="A2:A8"/>
    <mergeCell ref="B2:C8"/>
    <mergeCell ref="D2:G2"/>
    <mergeCell ref="D3:G3"/>
    <mergeCell ref="D4:G4"/>
    <mergeCell ref="D5:G5"/>
    <mergeCell ref="D6:G6"/>
    <mergeCell ref="D7:G7"/>
    <mergeCell ref="D8:G8"/>
    <mergeCell ref="A10:J10"/>
    <mergeCell ref="A40:J40"/>
  </mergeCells>
  <printOptions headings="false" gridLines="false" gridLinesSet="true" horizontalCentered="true" verticalCentered="false"/>
  <pageMargins left="0.25" right="0.25" top="0.75" bottom="0.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A64D79"/>
    <pageSetUpPr fitToPage="true"/>
  </sheetPr>
  <dimension ref="A1:V39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6.62"/>
    <col collapsed="false" customWidth="true" hidden="false" outlineLevel="0" max="2" min="2" style="0" width="35.38"/>
    <col collapsed="false" customWidth="true" hidden="false" outlineLevel="0" max="3" min="3" style="0" width="19"/>
    <col collapsed="false" customWidth="true" hidden="false" outlineLevel="0" max="14" min="4" style="0" width="14.38"/>
    <col collapsed="false" customWidth="true" hidden="false" outlineLevel="0" max="15" min="15" style="0" width="7.75"/>
    <col collapsed="false" customWidth="true" hidden="false" outlineLevel="0" max="22" min="16" style="0" width="14.38"/>
    <col collapsed="false" customWidth="true" hidden="false" outlineLevel="0" max="1025" min="23" style="0" width="12.63"/>
  </cols>
  <sheetData>
    <row r="1" customFormat="false" ht="15" hidden="false" customHeight="false" outlineLevel="0" collapsed="false">
      <c r="A1" s="126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7"/>
      <c r="P1" s="127"/>
      <c r="Q1" s="127"/>
      <c r="R1" s="127"/>
      <c r="S1" s="127"/>
      <c r="T1" s="127"/>
      <c r="U1" s="127"/>
      <c r="V1" s="127"/>
    </row>
    <row r="2" customFormat="false" ht="15" hidden="false" customHeight="false" outlineLevel="0" collapsed="false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7"/>
      <c r="P2" s="127"/>
      <c r="Q2" s="127"/>
      <c r="R2" s="127"/>
      <c r="S2" s="127"/>
      <c r="T2" s="127"/>
      <c r="U2" s="127"/>
      <c r="V2" s="127"/>
    </row>
    <row r="3" customFormat="false" ht="15" hidden="false" customHeight="true" outlineLevel="0" collapsed="false">
      <c r="A3" s="128"/>
      <c r="B3" s="4"/>
      <c r="C3" s="4"/>
      <c r="D3" s="5" t="s">
        <v>0</v>
      </c>
      <c r="E3" s="5"/>
      <c r="F3" s="5"/>
      <c r="G3" s="5"/>
      <c r="H3" s="129"/>
      <c r="I3" s="6"/>
      <c r="J3" s="127"/>
      <c r="K3" s="128"/>
      <c r="L3" s="128"/>
      <c r="M3" s="128"/>
      <c r="N3" s="128"/>
      <c r="O3" s="127"/>
      <c r="P3" s="127"/>
      <c r="Q3" s="127"/>
      <c r="R3" s="127"/>
      <c r="S3" s="127"/>
      <c r="T3" s="127"/>
      <c r="U3" s="127"/>
      <c r="V3" s="127"/>
    </row>
    <row r="4" customFormat="false" ht="15" hidden="false" customHeight="true" outlineLevel="0" collapsed="false">
      <c r="A4" s="128"/>
      <c r="B4" s="4"/>
      <c r="C4" s="4"/>
      <c r="D4" s="7" t="s">
        <v>1</v>
      </c>
      <c r="E4" s="7"/>
      <c r="F4" s="7"/>
      <c r="G4" s="7"/>
      <c r="H4" s="129"/>
      <c r="I4" s="127"/>
      <c r="J4" s="127"/>
      <c r="K4" s="128"/>
      <c r="L4" s="128"/>
      <c r="M4" s="128"/>
      <c r="N4" s="128"/>
      <c r="O4" s="127"/>
      <c r="P4" s="127"/>
      <c r="Q4" s="127"/>
      <c r="R4" s="127"/>
      <c r="S4" s="127"/>
      <c r="T4" s="127"/>
      <c r="U4" s="127"/>
      <c r="V4" s="127"/>
    </row>
    <row r="5" customFormat="false" ht="15" hidden="false" customHeight="true" outlineLevel="0" collapsed="false">
      <c r="A5" s="128"/>
      <c r="B5" s="4"/>
      <c r="C5" s="4"/>
      <c r="D5" s="5" t="s">
        <v>3</v>
      </c>
      <c r="E5" s="5"/>
      <c r="F5" s="5"/>
      <c r="G5" s="5"/>
      <c r="H5" s="129"/>
      <c r="I5" s="127"/>
      <c r="J5" s="127"/>
      <c r="K5" s="128"/>
      <c r="L5" s="128"/>
      <c r="M5" s="128"/>
      <c r="N5" s="128"/>
      <c r="O5" s="127"/>
      <c r="P5" s="127"/>
      <c r="Q5" s="127"/>
      <c r="R5" s="127"/>
      <c r="S5" s="127"/>
      <c r="T5" s="127"/>
      <c r="U5" s="127"/>
      <c r="V5" s="127"/>
    </row>
    <row r="6" customFormat="false" ht="15" hidden="false" customHeight="true" outlineLevel="0" collapsed="false">
      <c r="A6" s="128"/>
      <c r="B6" s="4"/>
      <c r="C6" s="4"/>
      <c r="D6" s="11" t="s">
        <v>4</v>
      </c>
      <c r="E6" s="11"/>
      <c r="F6" s="11"/>
      <c r="G6" s="11"/>
      <c r="H6" s="129"/>
      <c r="K6" s="128"/>
      <c r="L6" s="128"/>
      <c r="M6" s="128"/>
      <c r="N6" s="128"/>
      <c r="O6" s="127"/>
      <c r="P6" s="127"/>
      <c r="Q6" s="127"/>
      <c r="R6" s="127"/>
      <c r="S6" s="127"/>
      <c r="T6" s="127"/>
      <c r="U6" s="127"/>
      <c r="V6" s="127"/>
    </row>
    <row r="7" customFormat="false" ht="15" hidden="false" customHeight="true" outlineLevel="0" collapsed="false">
      <c r="A7" s="128"/>
      <c r="B7" s="4"/>
      <c r="C7" s="4"/>
      <c r="D7" s="7" t="s">
        <v>6</v>
      </c>
      <c r="E7" s="7"/>
      <c r="F7" s="7"/>
      <c r="G7" s="7"/>
      <c r="H7" s="129"/>
      <c r="K7" s="128"/>
      <c r="L7" s="128"/>
      <c r="M7" s="128"/>
      <c r="N7" s="128"/>
      <c r="O7" s="127"/>
      <c r="P7" s="127"/>
      <c r="Q7" s="127"/>
      <c r="R7" s="127"/>
      <c r="S7" s="127"/>
      <c r="T7" s="127"/>
      <c r="U7" s="127"/>
      <c r="V7" s="127"/>
    </row>
    <row r="8" customFormat="false" ht="15" hidden="false" customHeight="true" outlineLevel="0" collapsed="false">
      <c r="A8" s="128"/>
      <c r="B8" s="4"/>
      <c r="C8" s="4"/>
      <c r="D8" s="17" t="s">
        <v>8</v>
      </c>
      <c r="E8" s="17"/>
      <c r="F8" s="17"/>
      <c r="G8" s="17"/>
      <c r="H8" s="129"/>
      <c r="I8" s="127"/>
      <c r="K8" s="128"/>
      <c r="L8" s="128"/>
      <c r="M8" s="128"/>
      <c r="N8" s="128"/>
      <c r="O8" s="127"/>
      <c r="P8" s="127"/>
      <c r="Q8" s="127"/>
      <c r="R8" s="127"/>
      <c r="S8" s="127"/>
      <c r="T8" s="127"/>
      <c r="U8" s="127"/>
      <c r="V8" s="127"/>
    </row>
    <row r="9" customFormat="false" ht="15" hidden="false" customHeight="true" outlineLevel="0" collapsed="false">
      <c r="A9" s="128"/>
      <c r="B9" s="4"/>
      <c r="C9" s="4"/>
      <c r="D9" s="19" t="s">
        <v>9</v>
      </c>
      <c r="E9" s="19"/>
      <c r="F9" s="19"/>
      <c r="G9" s="19"/>
      <c r="H9" s="129"/>
      <c r="I9" s="127"/>
      <c r="J9" s="127"/>
      <c r="K9" s="128"/>
      <c r="L9" s="128"/>
      <c r="M9" s="128"/>
      <c r="N9" s="128"/>
      <c r="O9" s="127"/>
      <c r="P9" s="127"/>
      <c r="Q9" s="127"/>
      <c r="R9" s="127"/>
      <c r="S9" s="127"/>
      <c r="T9" s="127"/>
      <c r="U9" s="127"/>
      <c r="V9" s="127"/>
    </row>
    <row r="10" customFormat="false" ht="15" hidden="false" customHeight="false" outlineLevel="0" collapsed="false">
      <c r="A10" s="128"/>
      <c r="B10" s="130"/>
      <c r="C10" s="127"/>
      <c r="D10" s="128"/>
      <c r="E10" s="128"/>
      <c r="F10" s="128"/>
      <c r="G10" s="128"/>
      <c r="H10" s="128"/>
      <c r="I10" s="127"/>
      <c r="J10" s="127"/>
      <c r="K10" s="128"/>
      <c r="L10" s="128"/>
      <c r="M10" s="128"/>
      <c r="N10" s="128"/>
      <c r="O10" s="127"/>
      <c r="P10" s="127"/>
      <c r="Q10" s="127"/>
      <c r="R10" s="127"/>
      <c r="S10" s="127"/>
      <c r="T10" s="127"/>
      <c r="U10" s="127"/>
      <c r="V10" s="127"/>
    </row>
    <row r="11" customFormat="false" ht="15" hidden="false" customHeight="true" outlineLevel="0" collapsed="false">
      <c r="A11" s="131" t="s">
        <v>1014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27"/>
      <c r="P11" s="127"/>
      <c r="Q11" s="127"/>
      <c r="R11" s="127"/>
      <c r="S11" s="127"/>
      <c r="T11" s="127"/>
      <c r="U11" s="127"/>
      <c r="V11" s="127"/>
    </row>
    <row r="12" customFormat="false" ht="15" hidden="false" customHeight="true" outlineLevel="0" collapsed="false">
      <c r="A12" s="132"/>
      <c r="B12" s="122" t="s">
        <v>1015</v>
      </c>
      <c r="C12" s="132"/>
      <c r="D12" s="132"/>
      <c r="E12" s="133" t="s">
        <v>1016</v>
      </c>
      <c r="F12" s="133"/>
      <c r="G12" s="133" t="s">
        <v>1017</v>
      </c>
      <c r="H12" s="133"/>
      <c r="I12" s="133" t="s">
        <v>1018</v>
      </c>
      <c r="J12" s="133"/>
      <c r="K12" s="133" t="s">
        <v>1019</v>
      </c>
      <c r="L12" s="133"/>
      <c r="M12" s="133" t="s">
        <v>1020</v>
      </c>
      <c r="N12" s="133"/>
      <c r="O12" s="127"/>
      <c r="P12" s="127"/>
      <c r="Q12" s="127"/>
      <c r="R12" s="127"/>
      <c r="S12" s="127"/>
      <c r="T12" s="127"/>
      <c r="U12" s="127"/>
      <c r="V12" s="127"/>
    </row>
    <row r="13" customFormat="false" ht="15" hidden="false" customHeight="false" outlineLevel="0" collapsed="false">
      <c r="A13" s="132"/>
      <c r="B13" s="132"/>
      <c r="C13" s="134" t="s">
        <v>1021</v>
      </c>
      <c r="D13" s="135" t="s">
        <v>1022</v>
      </c>
      <c r="E13" s="136" t="s">
        <v>1022</v>
      </c>
      <c r="F13" s="135" t="s">
        <v>1023</v>
      </c>
      <c r="G13" s="136" t="s">
        <v>1022</v>
      </c>
      <c r="H13" s="135" t="s">
        <v>1023</v>
      </c>
      <c r="I13" s="136" t="s">
        <v>1022</v>
      </c>
      <c r="J13" s="135" t="s">
        <v>1023</v>
      </c>
      <c r="K13" s="136" t="s">
        <v>1022</v>
      </c>
      <c r="L13" s="135" t="s">
        <v>1023</v>
      </c>
      <c r="M13" s="136" t="s">
        <v>1022</v>
      </c>
      <c r="N13" s="135" t="s">
        <v>1023</v>
      </c>
      <c r="O13" s="127"/>
      <c r="P13" s="127"/>
      <c r="Q13" s="127"/>
      <c r="R13" s="127"/>
      <c r="S13" s="127"/>
      <c r="T13" s="127"/>
      <c r="U13" s="127"/>
      <c r="V13" s="127"/>
    </row>
    <row r="14" customFormat="false" ht="15" hidden="false" customHeight="false" outlineLevel="0" collapsed="false">
      <c r="A14" s="137" t="s">
        <v>23</v>
      </c>
      <c r="B14" s="138" t="str">
        <f aca="false">VLOOKUP(A14,'ORÇAMENTO - OBRA'!A7:M343,2,0)</f>
        <v>DEMOLIÇÕES</v>
      </c>
      <c r="C14" s="139" t="n">
        <f aca="false">VLOOKUP(A14,'ORÇAMENTO - OBRA'!$A$2:$M$1162,13,FALSE())</f>
        <v>4642.8</v>
      </c>
      <c r="D14" s="140" t="n">
        <f aca="false">C14/$C$31</f>
        <v>0.0156877994110689</v>
      </c>
      <c r="E14" s="141" t="n">
        <v>1</v>
      </c>
      <c r="F14" s="142" t="n">
        <f aca="false">E14*C14</f>
        <v>4642.8</v>
      </c>
      <c r="G14" s="143"/>
      <c r="H14" s="144" t="n">
        <f aca="false">G14*C14</f>
        <v>0</v>
      </c>
      <c r="I14" s="143"/>
      <c r="J14" s="144" t="n">
        <f aca="false">I14*C$14</f>
        <v>0</v>
      </c>
      <c r="K14" s="143"/>
      <c r="L14" s="144" t="n">
        <f aca="false">K14*C14</f>
        <v>0</v>
      </c>
      <c r="M14" s="145"/>
      <c r="N14" s="144" t="n">
        <f aca="false">M14*C14</f>
        <v>0</v>
      </c>
      <c r="O14" s="146" t="n">
        <f aca="false">E14+G14+I14+M14+K14</f>
        <v>1</v>
      </c>
      <c r="P14" s="127"/>
      <c r="Q14" s="127"/>
      <c r="R14" s="127"/>
      <c r="S14" s="127"/>
      <c r="T14" s="127"/>
      <c r="U14" s="127"/>
      <c r="V14" s="127"/>
    </row>
    <row r="15" customFormat="false" ht="15" hidden="false" customHeight="false" outlineLevel="0" collapsed="false">
      <c r="A15" s="137" t="s">
        <v>54</v>
      </c>
      <c r="B15" s="138" t="str">
        <f aca="false">VLOOKUP(A15,'ORÇAMENTO - OBRA'!$A$2:$M$1148,2,FALSE())</f>
        <v>EXTERNO</v>
      </c>
      <c r="C15" s="139" t="n">
        <f aca="false">VLOOKUP(A15,'ORÇAMENTO - OBRA'!$A$2:$M$1162,13,FALSE())</f>
        <v>18121.5</v>
      </c>
      <c r="D15" s="140" t="n">
        <f aca="false">C15/$C$31</f>
        <v>0.0612316828266747</v>
      </c>
      <c r="E15" s="147" t="n">
        <v>0.3</v>
      </c>
      <c r="F15" s="142" t="n">
        <f aca="false">E15*C15</f>
        <v>5436.45</v>
      </c>
      <c r="G15" s="148"/>
      <c r="H15" s="144" t="n">
        <f aca="false">G15*C15</f>
        <v>0</v>
      </c>
      <c r="I15" s="143"/>
      <c r="J15" s="144" t="n">
        <f aca="false">I15*C15</f>
        <v>0</v>
      </c>
      <c r="K15" s="145" t="n">
        <v>0.5</v>
      </c>
      <c r="L15" s="144" t="n">
        <f aca="false">K15*C15</f>
        <v>9060.75</v>
      </c>
      <c r="M15" s="145" t="n">
        <v>0.2</v>
      </c>
      <c r="N15" s="144" t="n">
        <f aca="false">M15*C15</f>
        <v>3624.3</v>
      </c>
      <c r="O15" s="146" t="n">
        <f aca="false">E15+G15+I15+M15+K15</f>
        <v>1</v>
      </c>
      <c r="P15" s="127"/>
      <c r="Q15" s="127"/>
      <c r="R15" s="127"/>
      <c r="S15" s="127"/>
      <c r="T15" s="127"/>
      <c r="U15" s="127"/>
      <c r="V15" s="127"/>
    </row>
    <row r="16" customFormat="false" ht="15" hidden="false" customHeight="false" outlineLevel="0" collapsed="false">
      <c r="A16" s="137" t="s">
        <v>110</v>
      </c>
      <c r="B16" s="138" t="str">
        <f aca="false">VLOOKUP(A16,'ORÇAMENTO - OBRA'!$A$2:$M$1148,2,FALSE())</f>
        <v>REFORMAS E ADEQUAÇÕES INTERNAS </v>
      </c>
      <c r="C16" s="139" t="n">
        <f aca="false">VLOOKUP(A16,'ORÇAMENTO - OBRA'!$A$2:$M$1162,13,FALSE())</f>
        <v>76546.3</v>
      </c>
      <c r="D16" s="140" t="n">
        <f aca="false">C16/$C$31</f>
        <v>0.25864629104409</v>
      </c>
      <c r="E16" s="141" t="n">
        <v>0.5</v>
      </c>
      <c r="F16" s="142" t="n">
        <f aca="false">E16*C16</f>
        <v>38273.15</v>
      </c>
      <c r="G16" s="148" t="n">
        <v>0.5</v>
      </c>
      <c r="H16" s="144" t="n">
        <f aca="false">G16*C16</f>
        <v>38273.15</v>
      </c>
      <c r="I16" s="143"/>
      <c r="J16" s="144" t="n">
        <f aca="false">I16*C16</f>
        <v>0</v>
      </c>
      <c r="K16" s="145"/>
      <c r="L16" s="144" t="n">
        <f aca="false">K16*C16</f>
        <v>0</v>
      </c>
      <c r="M16" s="145"/>
      <c r="N16" s="144" t="n">
        <f aca="false">M16*C16</f>
        <v>0</v>
      </c>
      <c r="O16" s="146" t="n">
        <f aca="false">E16+G16+I16+M16+K16</f>
        <v>1</v>
      </c>
      <c r="P16" s="127"/>
      <c r="Q16" s="127"/>
      <c r="R16" s="127"/>
      <c r="S16" s="127"/>
      <c r="T16" s="127"/>
      <c r="U16" s="127"/>
      <c r="V16" s="127"/>
    </row>
    <row r="17" customFormat="false" ht="15" hidden="false" customHeight="false" outlineLevel="0" collapsed="false">
      <c r="A17" s="137" t="s">
        <v>388</v>
      </c>
      <c r="B17" s="138" t="str">
        <f aca="false">VLOOKUP(A17,'ORÇAMENTO - OBRA'!$A$2:$M$1148,2,FALSE())</f>
        <v>INSTALAÇÕES ELÉTRICAS</v>
      </c>
      <c r="C17" s="139" t="n">
        <f aca="false">VLOOKUP(A17,'ORÇAMENTO - OBRA'!$A$2:$M$1162,13,FALSE())</f>
        <v>42037.59</v>
      </c>
      <c r="D17" s="140" t="n">
        <f aca="false">C17/$C$31</f>
        <v>0.142043008452821</v>
      </c>
      <c r="E17" s="143"/>
      <c r="F17" s="142" t="n">
        <f aca="false">E17*C17</f>
        <v>0</v>
      </c>
      <c r="G17" s="147" t="n">
        <v>0.5</v>
      </c>
      <c r="H17" s="144" t="n">
        <f aca="false">G17*C17</f>
        <v>21018.795</v>
      </c>
      <c r="I17" s="143" t="n">
        <v>0.4</v>
      </c>
      <c r="J17" s="144" t="n">
        <f aca="false">I17*C17</f>
        <v>16815.036</v>
      </c>
      <c r="K17" s="145" t="n">
        <v>0.1</v>
      </c>
      <c r="L17" s="144" t="n">
        <f aca="false">K17*C17</f>
        <v>4203.759</v>
      </c>
      <c r="M17" s="145"/>
      <c r="N17" s="144" t="n">
        <f aca="false">M17*C17</f>
        <v>0</v>
      </c>
      <c r="O17" s="146" t="n">
        <f aca="false">E17+G17+I17+M17+K17</f>
        <v>1</v>
      </c>
      <c r="P17" s="127"/>
      <c r="Q17" s="127"/>
      <c r="R17" s="127"/>
      <c r="S17" s="127"/>
      <c r="T17" s="127"/>
      <c r="U17" s="127"/>
      <c r="V17" s="127"/>
    </row>
    <row r="18" customFormat="false" ht="15" hidden="false" customHeight="false" outlineLevel="0" collapsed="false">
      <c r="A18" s="137" t="s">
        <v>544</v>
      </c>
      <c r="B18" s="138" t="str">
        <f aca="false">VLOOKUP(A18,'ORÇAMENTO - OBRA'!$A$2:$M$1148,2,FALSE())</f>
        <v>INSTALAÇÕES HIDROSSANITÁRIAS ANEXO III + CONVIVÊNCIA)</v>
      </c>
      <c r="C18" s="139" t="n">
        <f aca="false">VLOOKUP(A18,'ORÇAMENTO - OBRA'!$A$2:$M$1162,13,FALSE())</f>
        <v>10033.07</v>
      </c>
      <c r="D18" s="140" t="n">
        <f aca="false">C18/$C$31</f>
        <v>0.0339012642451135</v>
      </c>
      <c r="E18" s="147"/>
      <c r="F18" s="142" t="n">
        <f aca="false">E18*C18</f>
        <v>0</v>
      </c>
      <c r="G18" s="148" t="n">
        <v>0.6</v>
      </c>
      <c r="H18" s="144" t="n">
        <f aca="false">G18*C18</f>
        <v>6019.842</v>
      </c>
      <c r="I18" s="143" t="n">
        <v>0.2</v>
      </c>
      <c r="J18" s="144" t="n">
        <f aca="false">I18*C18</f>
        <v>2006.614</v>
      </c>
      <c r="K18" s="145" t="n">
        <v>0.2</v>
      </c>
      <c r="L18" s="144" t="n">
        <f aca="false">K18*C18</f>
        <v>2006.614</v>
      </c>
      <c r="M18" s="145"/>
      <c r="N18" s="144" t="n">
        <f aca="false">M18*C18</f>
        <v>0</v>
      </c>
      <c r="O18" s="146" t="n">
        <f aca="false">E18+G18+I18+M18+K18</f>
        <v>1</v>
      </c>
      <c r="P18" s="127"/>
      <c r="Q18" s="127"/>
      <c r="R18" s="127"/>
      <c r="S18" s="127"/>
      <c r="T18" s="127"/>
      <c r="U18" s="127"/>
      <c r="V18" s="127"/>
    </row>
    <row r="19" customFormat="false" ht="15" hidden="false" customHeight="false" outlineLevel="0" collapsed="false">
      <c r="A19" s="137" t="s">
        <v>697</v>
      </c>
      <c r="B19" s="138" t="str">
        <f aca="false">VLOOKUP(A19,'ORÇAMENTO - OBRA'!$A$2:$M$1148,2,FALSE())</f>
        <v>FUNDOS - ESTRUTURAS </v>
      </c>
      <c r="C19" s="139" t="n">
        <f aca="false">VLOOKUP(A19,'ORÇAMENTO - OBRA'!$A$2:$M$1162,13,FALSE())</f>
        <v>26313.11</v>
      </c>
      <c r="D19" s="140" t="n">
        <f aca="false">C19/$C$31</f>
        <v>0.0889107416992744</v>
      </c>
      <c r="E19" s="143"/>
      <c r="F19" s="142" t="n">
        <f aca="false">E19*C19</f>
        <v>0</v>
      </c>
      <c r="G19" s="147" t="n">
        <v>0.3</v>
      </c>
      <c r="H19" s="144" t="n">
        <f aca="false">G19*C19</f>
        <v>7893.933</v>
      </c>
      <c r="I19" s="143" t="n">
        <v>0.5</v>
      </c>
      <c r="J19" s="144" t="n">
        <f aca="false">I19*C19</f>
        <v>13156.555</v>
      </c>
      <c r="K19" s="145" t="n">
        <v>0.2</v>
      </c>
      <c r="L19" s="144" t="n">
        <f aca="false">K19*C19</f>
        <v>5262.622</v>
      </c>
      <c r="M19" s="145"/>
      <c r="N19" s="144" t="n">
        <f aca="false">M19*C19</f>
        <v>0</v>
      </c>
      <c r="O19" s="146" t="n">
        <f aca="false">E19+G19+I19+M19+K19</f>
        <v>1</v>
      </c>
      <c r="P19" s="127"/>
      <c r="Q19" s="127"/>
      <c r="R19" s="127"/>
      <c r="S19" s="127"/>
      <c r="T19" s="127"/>
      <c r="U19" s="127"/>
      <c r="V19" s="127"/>
    </row>
    <row r="20" customFormat="false" ht="15" hidden="false" customHeight="false" outlineLevel="0" collapsed="false">
      <c r="A20" s="137" t="s">
        <v>760</v>
      </c>
      <c r="B20" s="138" t="str">
        <f aca="false">VLOOKUP(A20,'ORÇAMENTO - OBRA'!$A$2:$M$1148,2,FALSE())</f>
        <v>FUNDOS - TELHADO E ÁGUAS PLUVIAIS</v>
      </c>
      <c r="C20" s="139" t="n">
        <f aca="false">VLOOKUP(A20,'ORÇAMENTO - OBRA'!$A$2:$M$1162,13,FALSE())</f>
        <v>23773.22</v>
      </c>
      <c r="D20" s="140" t="n">
        <f aca="false">C20/$C$31</f>
        <v>0.080328574721119</v>
      </c>
      <c r="E20" s="143"/>
      <c r="F20" s="142" t="n">
        <f aca="false">E20*C20</f>
        <v>0</v>
      </c>
      <c r="G20" s="147"/>
      <c r="H20" s="144" t="n">
        <f aca="false">G20*C20</f>
        <v>0</v>
      </c>
      <c r="I20" s="143"/>
      <c r="J20" s="144" t="n">
        <f aca="false">I20*C20</f>
        <v>0</v>
      </c>
      <c r="K20" s="145" t="n">
        <v>0.8</v>
      </c>
      <c r="L20" s="144" t="n">
        <f aca="false">K20*C20</f>
        <v>19018.576</v>
      </c>
      <c r="M20" s="145" t="n">
        <v>0.2</v>
      </c>
      <c r="N20" s="144" t="n">
        <f aca="false">M20*C20</f>
        <v>4754.644</v>
      </c>
      <c r="O20" s="146" t="n">
        <f aca="false">E20+G20+I20+M20+K20</f>
        <v>1</v>
      </c>
      <c r="P20" s="127"/>
      <c r="Q20" s="127"/>
      <c r="R20" s="127"/>
      <c r="S20" s="127"/>
      <c r="T20" s="127"/>
      <c r="U20" s="127"/>
      <c r="V20" s="127"/>
    </row>
    <row r="21" customFormat="false" ht="15" hidden="false" customHeight="false" outlineLevel="0" collapsed="false">
      <c r="A21" s="137" t="s">
        <v>790</v>
      </c>
      <c r="B21" s="138" t="str">
        <f aca="false">VLOOKUP(A21,'ORÇAMENTO - OBRA'!$A$2:$M$1148,2,FALSE())</f>
        <v>FUNDOS - PISOS</v>
      </c>
      <c r="C21" s="139" t="n">
        <f aca="false">VLOOKUP(A21,'ORÇAMENTO - OBRA'!$A$2:$M$1162,13,FALSE())</f>
        <v>10346.96</v>
      </c>
      <c r="D21" s="140" t="n">
        <f aca="false">C21/$C$31</f>
        <v>0.0349618835604276</v>
      </c>
      <c r="E21" s="143"/>
      <c r="F21" s="142" t="n">
        <f aca="false">E21*C21</f>
        <v>0</v>
      </c>
      <c r="G21" s="147"/>
      <c r="H21" s="144" t="n">
        <f aca="false">G21*C21</f>
        <v>0</v>
      </c>
      <c r="I21" s="143" t="n">
        <v>0.3</v>
      </c>
      <c r="J21" s="144" t="n">
        <f aca="false">I21*C21</f>
        <v>3104.088</v>
      </c>
      <c r="K21" s="145" t="n">
        <v>0.4</v>
      </c>
      <c r="L21" s="144" t="n">
        <f aca="false">K21*C21</f>
        <v>4138.784</v>
      </c>
      <c r="M21" s="145" t="n">
        <v>0.3</v>
      </c>
      <c r="N21" s="144" t="n">
        <f aca="false">M21*C21</f>
        <v>3104.088</v>
      </c>
      <c r="O21" s="146" t="n">
        <f aca="false">E21+G21+I21+M21+K21</f>
        <v>1</v>
      </c>
      <c r="P21" s="127"/>
      <c r="Q21" s="127"/>
      <c r="R21" s="127"/>
      <c r="S21" s="127"/>
      <c r="T21" s="127"/>
      <c r="U21" s="127"/>
      <c r="V21" s="127"/>
    </row>
    <row r="22" customFormat="false" ht="15" hidden="false" customHeight="false" outlineLevel="0" collapsed="false">
      <c r="A22" s="137" t="s">
        <v>806</v>
      </c>
      <c r="B22" s="138" t="str">
        <f aca="false">VLOOKUP(A22,'ORÇAMENTO - OBRA'!$A$2:$M$1148,2,FALSE())</f>
        <v>FUNDOS - ALVENARIAS E REVESTIMENTOS</v>
      </c>
      <c r="C22" s="139" t="n">
        <f aca="false">VLOOKUP(A22,'ORÇAMENTO - OBRA'!$A$2:$M$1162,13,FALSE())</f>
        <v>30024.6</v>
      </c>
      <c r="D22" s="140" t="n">
        <f aca="false">C22/$C$31</f>
        <v>0.101451689109498</v>
      </c>
      <c r="E22" s="143"/>
      <c r="F22" s="142" t="n">
        <f aca="false">E22*C22</f>
        <v>0</v>
      </c>
      <c r="G22" s="147"/>
      <c r="H22" s="144" t="n">
        <f aca="false">G22*C22</f>
        <v>0</v>
      </c>
      <c r="I22" s="143" t="n">
        <v>0.6</v>
      </c>
      <c r="J22" s="144" t="n">
        <f aca="false">I22*C22</f>
        <v>18014.76</v>
      </c>
      <c r="K22" s="145" t="n">
        <v>0.4</v>
      </c>
      <c r="L22" s="144" t="n">
        <f aca="false">K22*C22</f>
        <v>12009.84</v>
      </c>
      <c r="M22" s="145"/>
      <c r="N22" s="144" t="n">
        <f aca="false">M22*C22</f>
        <v>0</v>
      </c>
      <c r="O22" s="146" t="n">
        <f aca="false">E22+G22+I22+M22+K22</f>
        <v>1</v>
      </c>
      <c r="P22" s="127"/>
      <c r="Q22" s="127"/>
      <c r="R22" s="127"/>
      <c r="S22" s="127"/>
      <c r="T22" s="127"/>
      <c r="U22" s="127"/>
      <c r="V22" s="127"/>
    </row>
    <row r="23" customFormat="false" ht="15" hidden="false" customHeight="false" outlineLevel="0" collapsed="false">
      <c r="A23" s="137" t="s">
        <v>822</v>
      </c>
      <c r="B23" s="138" t="str">
        <f aca="false">VLOOKUP(A23,'ORÇAMENTO - OBRA'!$A$2:$M$1148,2,FALSE())</f>
        <v>FUNDOS - FORRO</v>
      </c>
      <c r="C23" s="139" t="n">
        <f aca="false">VLOOKUP(A23,'ORÇAMENTO - OBRA'!$A$2:$M$1162,13,FALSE())</f>
        <v>11446.5</v>
      </c>
      <c r="D23" s="140" t="n">
        <f aca="false">C23/$C$31</f>
        <v>0.0386771766948394</v>
      </c>
      <c r="E23" s="143"/>
      <c r="F23" s="142" t="n">
        <f aca="false">E23*C23</f>
        <v>0</v>
      </c>
      <c r="G23" s="147"/>
      <c r="H23" s="144" t="n">
        <f aca="false">G23*C23</f>
        <v>0</v>
      </c>
      <c r="I23" s="143"/>
      <c r="J23" s="144" t="n">
        <f aca="false">I23*C23</f>
        <v>0</v>
      </c>
      <c r="K23" s="145"/>
      <c r="L23" s="144" t="n">
        <f aca="false">K23*C23</f>
        <v>0</v>
      </c>
      <c r="M23" s="145" t="n">
        <v>1</v>
      </c>
      <c r="N23" s="144" t="n">
        <f aca="false">M23*C23</f>
        <v>11446.5</v>
      </c>
      <c r="O23" s="146" t="n">
        <f aca="false">E23+G23+I23+M23+K23</f>
        <v>1</v>
      </c>
      <c r="P23" s="127"/>
      <c r="Q23" s="127"/>
      <c r="R23" s="127"/>
      <c r="S23" s="127"/>
      <c r="T23" s="127"/>
      <c r="U23" s="127"/>
      <c r="V23" s="127"/>
    </row>
    <row r="24" customFormat="false" ht="15" hidden="false" customHeight="false" outlineLevel="0" collapsed="false">
      <c r="A24" s="137" t="s">
        <v>836</v>
      </c>
      <c r="B24" s="138" t="str">
        <f aca="false">VLOOKUP(A24,'ORÇAMENTO - OBRA'!$A$2:$M$1148,2,FALSE())</f>
        <v>FUNDOS - ESQUADRIAS</v>
      </c>
      <c r="C24" s="139" t="n">
        <f aca="false">VLOOKUP(A24,'ORÇAMENTO - OBRA'!$A$2:$M$1162,13,FALSE())</f>
        <v>11688.79</v>
      </c>
      <c r="D24" s="140" t="n">
        <f aca="false">C24/$C$31</f>
        <v>0.0394958630305221</v>
      </c>
      <c r="E24" s="143"/>
      <c r="F24" s="142" t="n">
        <f aca="false">E24*C24</f>
        <v>0</v>
      </c>
      <c r="G24" s="147"/>
      <c r="H24" s="144" t="n">
        <f aca="false">G24*C24</f>
        <v>0</v>
      </c>
      <c r="I24" s="143"/>
      <c r="J24" s="144" t="n">
        <f aca="false">I24*C24</f>
        <v>0</v>
      </c>
      <c r="K24" s="145" t="n">
        <v>1</v>
      </c>
      <c r="L24" s="144" t="n">
        <f aca="false">K24*C24</f>
        <v>11688.79</v>
      </c>
      <c r="M24" s="145"/>
      <c r="N24" s="144" t="n">
        <f aca="false">M24*C24</f>
        <v>0</v>
      </c>
      <c r="O24" s="146" t="n">
        <f aca="false">E24+G24+I24+M24+K24</f>
        <v>1</v>
      </c>
      <c r="P24" s="127"/>
      <c r="Q24" s="127"/>
      <c r="R24" s="127"/>
      <c r="S24" s="127"/>
      <c r="T24" s="127"/>
      <c r="U24" s="127"/>
      <c r="V24" s="127"/>
    </row>
    <row r="25" customFormat="false" ht="15" hidden="false" customHeight="false" outlineLevel="0" collapsed="false">
      <c r="A25" s="137" t="s">
        <v>846</v>
      </c>
      <c r="B25" s="138" t="str">
        <f aca="false">VLOOKUP(A25,'ORÇAMENTO - OBRA'!$A$2:$M$1148,2,FALSE())</f>
        <v>FUNDOS - BANCADAS DA COZINHA</v>
      </c>
      <c r="C25" s="139" t="n">
        <f aca="false">VLOOKUP(A25,'ORÇAMENTO - OBRA'!$A$2:$M$1162,13,FALSE())</f>
        <v>7708.61</v>
      </c>
      <c r="D25" s="140" t="n">
        <f aca="false">C25/$C$31</f>
        <v>0.0260470249457568</v>
      </c>
      <c r="E25" s="143"/>
      <c r="F25" s="142" t="n">
        <f aca="false">E25*C25</f>
        <v>0</v>
      </c>
      <c r="G25" s="147"/>
      <c r="H25" s="144" t="n">
        <f aca="false">G25*C25</f>
        <v>0</v>
      </c>
      <c r="I25" s="143"/>
      <c r="J25" s="144" t="n">
        <f aca="false">I25*C25</f>
        <v>0</v>
      </c>
      <c r="K25" s="145"/>
      <c r="L25" s="144" t="n">
        <f aca="false">K25*C25</f>
        <v>0</v>
      </c>
      <c r="M25" s="145" t="n">
        <v>1</v>
      </c>
      <c r="N25" s="144" t="n">
        <f aca="false">M25*C25</f>
        <v>7708.61</v>
      </c>
      <c r="O25" s="146" t="n">
        <f aca="false">E25+G25+I25+M25+K25</f>
        <v>1</v>
      </c>
      <c r="P25" s="127"/>
      <c r="Q25" s="127"/>
      <c r="R25" s="127"/>
      <c r="S25" s="127"/>
      <c r="T25" s="127"/>
      <c r="U25" s="127"/>
      <c r="V25" s="127"/>
    </row>
    <row r="26" customFormat="false" ht="15" hidden="false" customHeight="false" outlineLevel="0" collapsed="false">
      <c r="A26" s="137" t="s">
        <v>877</v>
      </c>
      <c r="B26" s="138" t="str">
        <f aca="false">VLOOKUP(A26,'ORÇAMENTO - OBRA'!$A$2:$M$1148,2,FALSE())</f>
        <v>FUNDOS - ABRIGO DE GÁS</v>
      </c>
      <c r="C26" s="139" t="n">
        <f aca="false">VLOOKUP(A26,'ORÇAMENTO - OBRA'!$A$2:$M$1162,13,FALSE())</f>
        <v>1407.51</v>
      </c>
      <c r="D26" s="140" t="n">
        <f aca="false">C26/$C$31</f>
        <v>0.00475590905252726</v>
      </c>
      <c r="E26" s="143"/>
      <c r="F26" s="142" t="n">
        <f aca="false">E26*C26</f>
        <v>0</v>
      </c>
      <c r="G26" s="147"/>
      <c r="H26" s="144" t="n">
        <f aca="false">G26*C26</f>
        <v>0</v>
      </c>
      <c r="I26" s="143"/>
      <c r="J26" s="144" t="n">
        <f aca="false">I26*C26</f>
        <v>0</v>
      </c>
      <c r="K26" s="145" t="n">
        <v>1</v>
      </c>
      <c r="L26" s="144" t="n">
        <f aca="false">K26*C26</f>
        <v>1407.51</v>
      </c>
      <c r="M26" s="145"/>
      <c r="N26" s="144" t="n">
        <f aca="false">M26*C26</f>
        <v>0</v>
      </c>
      <c r="O26" s="146" t="n">
        <f aca="false">E26+G26+I26+M26+K26</f>
        <v>1</v>
      </c>
      <c r="P26" s="127"/>
      <c r="Q26" s="127"/>
      <c r="R26" s="127"/>
      <c r="S26" s="127"/>
      <c r="T26" s="127"/>
      <c r="U26" s="127"/>
      <c r="V26" s="127"/>
    </row>
    <row r="27" customFormat="false" ht="15" hidden="false" customHeight="false" outlineLevel="0" collapsed="false">
      <c r="A27" s="137" t="s">
        <v>904</v>
      </c>
      <c r="B27" s="138" t="str">
        <f aca="false">VLOOKUP(A27,'ORÇAMENTO - OBRA'!$A$2:$M$1148,2,FALSE())</f>
        <v>PASSARELA</v>
      </c>
      <c r="C27" s="139" t="n">
        <f aca="false">VLOOKUP(A27,'ORÇAMENTO - OBRA'!$A$2:$M$1162,13,FALSE())</f>
        <v>11426.05</v>
      </c>
      <c r="D27" s="140" t="n">
        <f aca="false">C27/$C$31</f>
        <v>0.0386080771217463</v>
      </c>
      <c r="E27" s="143"/>
      <c r="F27" s="142" t="n">
        <f aca="false">E27*C27</f>
        <v>0</v>
      </c>
      <c r="G27" s="147"/>
      <c r="H27" s="144" t="n">
        <f aca="false">G27*C27</f>
        <v>0</v>
      </c>
      <c r="I27" s="143" t="n">
        <v>0.5</v>
      </c>
      <c r="J27" s="144" t="n">
        <f aca="false">I27*C27</f>
        <v>5713.025</v>
      </c>
      <c r="K27" s="145" t="n">
        <v>0.5</v>
      </c>
      <c r="L27" s="144" t="n">
        <f aca="false">K27*C27</f>
        <v>5713.025</v>
      </c>
      <c r="M27" s="145"/>
      <c r="N27" s="144" t="n">
        <f aca="false">M27*C27</f>
        <v>0</v>
      </c>
      <c r="O27" s="146" t="n">
        <f aca="false">E27+G27+I27+M27+K27</f>
        <v>1</v>
      </c>
      <c r="P27" s="127"/>
      <c r="Q27" s="127"/>
      <c r="R27" s="127"/>
      <c r="S27" s="127"/>
      <c r="T27" s="127"/>
      <c r="U27" s="127"/>
      <c r="V27" s="127"/>
    </row>
    <row r="28" customFormat="false" ht="15.75" hidden="false" customHeight="true" outlineLevel="0" collapsed="false">
      <c r="A28" s="137" t="s">
        <v>932</v>
      </c>
      <c r="B28" s="138" t="str">
        <f aca="false">VLOOKUP(A28,'ORÇAMENTO - OBRA'!$A$2:$M$1148,2,FALSE())</f>
        <v>PREVENÇÃO DE INCÊNDIO</v>
      </c>
      <c r="C28" s="139" t="n">
        <f aca="false">VLOOKUP(A28,'ORÇAMENTO - OBRA'!$A$2:$M$1162,13,FALSE())</f>
        <v>1418.96</v>
      </c>
      <c r="D28" s="140" t="n">
        <f aca="false">C28/$C$31</f>
        <v>0.00479459805555491</v>
      </c>
      <c r="E28" s="143"/>
      <c r="F28" s="142" t="n">
        <f aca="false">E28*C28</f>
        <v>0</v>
      </c>
      <c r="G28" s="147"/>
      <c r="H28" s="144" t="n">
        <f aca="false">G28*C28</f>
        <v>0</v>
      </c>
      <c r="I28" s="143"/>
      <c r="J28" s="144" t="n">
        <f aca="false">I28*C28</f>
        <v>0</v>
      </c>
      <c r="K28" s="145"/>
      <c r="L28" s="144" t="n">
        <f aca="false">K28*C28</f>
        <v>0</v>
      </c>
      <c r="M28" s="145" t="n">
        <v>1</v>
      </c>
      <c r="N28" s="144" t="n">
        <f aca="false">M28*C28</f>
        <v>1418.96</v>
      </c>
      <c r="O28" s="146" t="n">
        <f aca="false">E28+G28+I28+M28+K28</f>
        <v>1</v>
      </c>
      <c r="P28" s="127"/>
      <c r="Q28" s="127"/>
      <c r="R28" s="127"/>
      <c r="S28" s="127"/>
      <c r="T28" s="127"/>
      <c r="U28" s="127"/>
      <c r="V28" s="127"/>
    </row>
    <row r="29" customFormat="false" ht="15.75" hidden="false" customHeight="true" outlineLevel="0" collapsed="false">
      <c r="A29" s="137" t="s">
        <v>954</v>
      </c>
      <c r="B29" s="138" t="str">
        <f aca="false">VLOOKUP(A29,'ORÇAMENTO - OBRA'!$A$2:$M$1148,2,FALSE())</f>
        <v>LIMPEZA E RCC</v>
      </c>
      <c r="C29" s="139" t="n">
        <f aca="false">VLOOKUP(A29,'ORÇAMENTO - OBRA'!$A$2:$M$1162,13,FALSE())</f>
        <v>2059.54</v>
      </c>
      <c r="D29" s="140" t="n">
        <f aca="false">C29/$C$31</f>
        <v>0.00695908727472061</v>
      </c>
      <c r="E29" s="143" t="n">
        <v>0.5</v>
      </c>
      <c r="F29" s="142" t="n">
        <f aca="false">E29*C29</f>
        <v>1029.77</v>
      </c>
      <c r="G29" s="143"/>
      <c r="H29" s="144" t="n">
        <f aca="false">G29*C29</f>
        <v>0</v>
      </c>
      <c r="I29" s="141"/>
      <c r="J29" s="144" t="n">
        <f aca="false">I29*C29</f>
        <v>0</v>
      </c>
      <c r="K29" s="149"/>
      <c r="L29" s="144" t="n">
        <f aca="false">K29*C29</f>
        <v>0</v>
      </c>
      <c r="M29" s="149" t="n">
        <v>0.5</v>
      </c>
      <c r="N29" s="144" t="n">
        <f aca="false">M29*C29</f>
        <v>1029.77</v>
      </c>
      <c r="O29" s="146" t="n">
        <f aca="false">E29+G29+I29+M29+K29</f>
        <v>1</v>
      </c>
      <c r="P29" s="127"/>
      <c r="Q29" s="127"/>
      <c r="R29" s="127"/>
      <c r="S29" s="127"/>
      <c r="T29" s="127"/>
      <c r="U29" s="127"/>
      <c r="V29" s="127"/>
    </row>
    <row r="30" customFormat="false" ht="15.75" hidden="false" customHeight="true" outlineLevel="0" collapsed="false">
      <c r="A30" s="137" t="s">
        <v>968</v>
      </c>
      <c r="B30" s="138" t="str">
        <f aca="false">VLOOKUP(A30,'ORÇAMENTO - OBRA'!$A$2:$M$1148,2,FALSE())</f>
        <v>REDE LÓGICA</v>
      </c>
      <c r="C30" s="139" t="n">
        <f aca="false">VLOOKUP(A30,'ORÇAMENTO - OBRA'!$A$2:$M$1162,13,FALSE())</f>
        <v>6954.62</v>
      </c>
      <c r="D30" s="140" t="n">
        <f aca="false">C30/$C$31</f>
        <v>0.0234993287542449</v>
      </c>
      <c r="E30" s="143"/>
      <c r="F30" s="142" t="n">
        <f aca="false">E30*C30</f>
        <v>0</v>
      </c>
      <c r="G30" s="143" t="n">
        <v>0.5</v>
      </c>
      <c r="H30" s="144" t="n">
        <f aca="false">G30*C30</f>
        <v>3477.31</v>
      </c>
      <c r="I30" s="143" t="n">
        <v>0.5</v>
      </c>
      <c r="J30" s="144" t="n">
        <f aca="false">I30*C30</f>
        <v>3477.31</v>
      </c>
      <c r="K30" s="149"/>
      <c r="L30" s="144" t="n">
        <f aca="false">K30*C30</f>
        <v>0</v>
      </c>
      <c r="M30" s="149"/>
      <c r="N30" s="144" t="n">
        <f aca="false">M30*C30</f>
        <v>0</v>
      </c>
      <c r="O30" s="146" t="n">
        <f aca="false">E30+G30+I30+M30+K30</f>
        <v>1</v>
      </c>
      <c r="P30" s="127"/>
      <c r="Q30" s="127"/>
      <c r="R30" s="127"/>
      <c r="S30" s="127"/>
      <c r="T30" s="127"/>
      <c r="U30" s="127"/>
      <c r="V30" s="127"/>
    </row>
    <row r="31" customFormat="false" ht="15.75" hidden="false" customHeight="true" outlineLevel="0" collapsed="false">
      <c r="A31" s="137"/>
      <c r="B31" s="150" t="s">
        <v>21</v>
      </c>
      <c r="C31" s="139" t="n">
        <f aca="false">SUM(C14:C30)</f>
        <v>295949.73</v>
      </c>
      <c r="D31" s="140" t="n">
        <f aca="false">C31/$C$31</f>
        <v>1</v>
      </c>
      <c r="E31" s="151"/>
      <c r="F31" s="142"/>
      <c r="G31" s="152"/>
      <c r="H31" s="144"/>
      <c r="I31" s="152"/>
      <c r="J31" s="144"/>
      <c r="K31" s="152"/>
      <c r="L31" s="152"/>
      <c r="M31" s="152"/>
      <c r="N31" s="144"/>
      <c r="O31" s="127"/>
      <c r="P31" s="127"/>
      <c r="Q31" s="127"/>
      <c r="R31" s="127"/>
      <c r="S31" s="127"/>
      <c r="T31" s="127"/>
      <c r="U31" s="127"/>
      <c r="V31" s="127"/>
    </row>
    <row r="32" customFormat="false" ht="9" hidden="false" customHeight="true" outlineLevel="0" collapsed="false">
      <c r="A32" s="153"/>
      <c r="B32" s="153"/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27"/>
      <c r="P32" s="127"/>
      <c r="Q32" s="127"/>
      <c r="R32" s="127"/>
      <c r="S32" s="127"/>
      <c r="T32" s="127"/>
      <c r="U32" s="127"/>
      <c r="V32" s="127"/>
    </row>
    <row r="33" customFormat="false" ht="15" hidden="false" customHeight="false" outlineLevel="0" collapsed="false">
      <c r="A33" s="154"/>
      <c r="B33" s="129"/>
      <c r="C33" s="155"/>
      <c r="D33" s="156" t="s">
        <v>1024</v>
      </c>
      <c r="E33" s="157" t="n">
        <f aca="false">SUM(F14:F30)</f>
        <v>49382.17</v>
      </c>
      <c r="F33" s="157"/>
      <c r="G33" s="158" t="n">
        <f aca="false">SUM(H14:H30)</f>
        <v>76683.03</v>
      </c>
      <c r="H33" s="158"/>
      <c r="I33" s="158" t="n">
        <f aca="false">SUM(J14:J30)</f>
        <v>62287.388</v>
      </c>
      <c r="J33" s="158"/>
      <c r="K33" s="158" t="n">
        <f aca="false">SUM(L14:L30)</f>
        <v>74510.27</v>
      </c>
      <c r="L33" s="158"/>
      <c r="M33" s="158" t="n">
        <f aca="false">SUM(N14:N30)</f>
        <v>33086.872</v>
      </c>
      <c r="N33" s="158"/>
      <c r="O33" s="127"/>
      <c r="P33" s="127"/>
      <c r="Q33" s="127"/>
      <c r="R33" s="127"/>
      <c r="S33" s="127"/>
      <c r="T33" s="127"/>
      <c r="U33" s="127"/>
      <c r="V33" s="127"/>
    </row>
    <row r="34" customFormat="false" ht="15" hidden="false" customHeight="false" outlineLevel="0" collapsed="false">
      <c r="A34" s="154"/>
      <c r="B34" s="129"/>
      <c r="C34" s="159"/>
      <c r="D34" s="156" t="s">
        <v>1025</v>
      </c>
      <c r="E34" s="160" t="n">
        <f aca="false">SUM(E33/$C$31)</f>
        <v>0.166859993418477</v>
      </c>
      <c r="F34" s="160"/>
      <c r="G34" s="161" t="n">
        <f aca="false">SUM(G33/$C$31)</f>
        <v>0.259108295182428</v>
      </c>
      <c r="H34" s="161"/>
      <c r="I34" s="161" t="n">
        <f aca="false">SUM(I33/$C$31)</f>
        <v>0.210466108551611</v>
      </c>
      <c r="J34" s="161"/>
      <c r="K34" s="161" t="n">
        <f aca="false">SUM(K33/$C$31)</f>
        <v>0.251766642936285</v>
      </c>
      <c r="L34" s="161"/>
      <c r="M34" s="161" t="n">
        <f aca="false">SUM(M33/$C$31)</f>
        <v>0.111798959911198</v>
      </c>
      <c r="N34" s="161"/>
      <c r="O34" s="127"/>
      <c r="P34" s="127"/>
      <c r="Q34" s="127"/>
      <c r="R34" s="127"/>
      <c r="S34" s="127"/>
      <c r="T34" s="127"/>
      <c r="U34" s="127"/>
      <c r="V34" s="127"/>
    </row>
    <row r="35" customFormat="false" ht="15.75" hidden="false" customHeight="true" outlineLevel="0" collapsed="false">
      <c r="A35" s="154"/>
      <c r="B35" s="129"/>
      <c r="C35" s="155"/>
      <c r="D35" s="156" t="s">
        <v>1026</v>
      </c>
      <c r="E35" s="157" t="n">
        <f aca="false">E33</f>
        <v>49382.17</v>
      </c>
      <c r="F35" s="157"/>
      <c r="G35" s="158" t="n">
        <f aca="false">E35+G33</f>
        <v>126065.2</v>
      </c>
      <c r="H35" s="158"/>
      <c r="I35" s="158" t="n">
        <f aca="false">G35+I33</f>
        <v>188352.588</v>
      </c>
      <c r="J35" s="158"/>
      <c r="K35" s="158" t="n">
        <f aca="false">I35+K33</f>
        <v>262862.858</v>
      </c>
      <c r="L35" s="158"/>
      <c r="M35" s="158" t="n">
        <f aca="false">M33+K35</f>
        <v>295949.73</v>
      </c>
      <c r="N35" s="158"/>
      <c r="O35" s="127"/>
      <c r="P35" s="127"/>
      <c r="Q35" s="127"/>
      <c r="R35" s="127"/>
      <c r="S35" s="127"/>
      <c r="T35" s="127"/>
      <c r="U35" s="127"/>
      <c r="V35" s="127"/>
    </row>
    <row r="36" customFormat="false" ht="15.75" hidden="false" customHeight="true" outlineLevel="0" collapsed="false">
      <c r="A36" s="154"/>
      <c r="B36" s="129"/>
      <c r="C36" s="155"/>
      <c r="D36" s="156" t="s">
        <v>1027</v>
      </c>
      <c r="E36" s="160" t="n">
        <f aca="false">E34</f>
        <v>0.166859993418477</v>
      </c>
      <c r="F36" s="160"/>
      <c r="G36" s="161" t="n">
        <f aca="false">E36+G34</f>
        <v>0.425968288600905</v>
      </c>
      <c r="H36" s="161"/>
      <c r="I36" s="161" t="n">
        <f aca="false">G36+I34</f>
        <v>0.636434397152516</v>
      </c>
      <c r="J36" s="161"/>
      <c r="K36" s="161" t="n">
        <f aca="false">I36+K34</f>
        <v>0.888201040088802</v>
      </c>
      <c r="L36" s="161"/>
      <c r="M36" s="161" t="n">
        <f aca="false">K36+M34</f>
        <v>1</v>
      </c>
      <c r="N36" s="161"/>
      <c r="O36" s="127"/>
      <c r="P36" s="127"/>
      <c r="Q36" s="127"/>
      <c r="R36" s="127"/>
      <c r="S36" s="127"/>
      <c r="T36" s="127"/>
      <c r="U36" s="127"/>
      <c r="V36" s="127"/>
    </row>
    <row r="37" customFormat="false" ht="15.75" hidden="false" customHeight="true" outlineLevel="0" collapsed="false">
      <c r="A37" s="162"/>
      <c r="B37" s="162"/>
      <c r="C37" s="162"/>
      <c r="D37" s="162"/>
      <c r="E37" s="162"/>
      <c r="F37" s="162"/>
      <c r="G37" s="162"/>
      <c r="H37" s="162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</row>
    <row r="38" customFormat="false" ht="15.75" hidden="false" customHeight="true" outlineLevel="0" collapsed="false">
      <c r="A38" s="126"/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</row>
    <row r="39" customFormat="false" ht="15.75" hidden="false" customHeight="true" outlineLevel="0" collapsed="false"/>
    <row r="40" customFormat="false" ht="15.75" hidden="false" customHeight="true" outlineLevel="0" collapsed="false"/>
    <row r="41" customFormat="false" ht="15.75" hidden="false" customHeight="true" outlineLevel="0" collapsed="false"/>
    <row r="42" customFormat="false" ht="15.75" hidden="false" customHeight="true" outlineLevel="0" collapsed="false"/>
    <row r="43" customFormat="false" ht="15.75" hidden="false" customHeight="true" outlineLevel="0" collapsed="false"/>
    <row r="44" customFormat="false" ht="15.75" hidden="false" customHeight="true" outlineLevel="0" collapsed="false"/>
    <row r="45" customFormat="false" ht="15.75" hidden="false" customHeight="true" outlineLevel="0" collapsed="false"/>
    <row r="46" customFormat="false" ht="15.75" hidden="false" customHeight="true" outlineLevel="0" collapsed="false"/>
    <row r="47" customFormat="false" ht="15.75" hidden="false" customHeight="true" outlineLevel="0" collapsed="false"/>
    <row r="48" customFormat="false" ht="15.75" hidden="false" customHeight="true" outlineLevel="0" collapsed="false"/>
    <row r="49" customFormat="false" ht="15.75" hidden="false" customHeight="true" outlineLevel="0" collapsed="false"/>
    <row r="50" customFormat="false" ht="15.75" hidden="false" customHeight="true" outlineLevel="0" collapsed="false"/>
    <row r="51" customFormat="false" ht="15.75" hidden="false" customHeight="true" outlineLevel="0" collapsed="false"/>
    <row r="52" customFormat="false" ht="15.75" hidden="false" customHeight="true" outlineLevel="0" collapsed="false"/>
    <row r="53" customFormat="false" ht="15.75" hidden="false" customHeight="true" outlineLevel="0" collapsed="false"/>
    <row r="54" customFormat="false" ht="15.75" hidden="false" customHeight="true" outlineLevel="0" collapsed="false"/>
    <row r="55" customFormat="false" ht="15.75" hidden="false" customHeight="true" outlineLevel="0" collapsed="false"/>
    <row r="56" customFormat="false" ht="15.75" hidden="false" customHeight="true" outlineLevel="0" collapsed="false"/>
    <row r="57" customFormat="false" ht="15.75" hidden="false" customHeight="true" outlineLevel="0" collapsed="false"/>
    <row r="58" customFormat="false" ht="15.75" hidden="false" customHeight="true" outlineLevel="0" collapsed="false"/>
    <row r="59" customFormat="false" ht="15.75" hidden="false" customHeight="true" outlineLevel="0" collapsed="false"/>
    <row r="60" customFormat="false" ht="15.75" hidden="false" customHeight="true" outlineLevel="0" collapsed="false"/>
    <row r="61" customFormat="false" ht="15.75" hidden="false" customHeight="true" outlineLevel="0" collapsed="false"/>
    <row r="62" customFormat="false" ht="15.75" hidden="false" customHeight="true" outlineLevel="0" collapsed="false"/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</sheetData>
  <mergeCells count="39">
    <mergeCell ref="A1:N1"/>
    <mergeCell ref="B3:C9"/>
    <mergeCell ref="D3:G3"/>
    <mergeCell ref="D4:G4"/>
    <mergeCell ref="D5:G5"/>
    <mergeCell ref="D6:G6"/>
    <mergeCell ref="D7:G7"/>
    <mergeCell ref="D8:G8"/>
    <mergeCell ref="D9:G9"/>
    <mergeCell ref="A11:N11"/>
    <mergeCell ref="A12:A13"/>
    <mergeCell ref="B12:B13"/>
    <mergeCell ref="E12:F12"/>
    <mergeCell ref="G12:H12"/>
    <mergeCell ref="I12:J12"/>
    <mergeCell ref="K12:L12"/>
    <mergeCell ref="M12:N12"/>
    <mergeCell ref="A32:N32"/>
    <mergeCell ref="E33:F33"/>
    <mergeCell ref="G33:H33"/>
    <mergeCell ref="I33:J33"/>
    <mergeCell ref="K33:L33"/>
    <mergeCell ref="M33:N33"/>
    <mergeCell ref="E34:F34"/>
    <mergeCell ref="G34:H34"/>
    <mergeCell ref="I34:J34"/>
    <mergeCell ref="K34:L34"/>
    <mergeCell ref="M34:N34"/>
    <mergeCell ref="E35:F35"/>
    <mergeCell ref="G35:H35"/>
    <mergeCell ref="I35:J35"/>
    <mergeCell ref="K35:L35"/>
    <mergeCell ref="M35:N35"/>
    <mergeCell ref="E36:F36"/>
    <mergeCell ref="G36:H36"/>
    <mergeCell ref="I36:J36"/>
    <mergeCell ref="K36:L36"/>
    <mergeCell ref="M36:N36"/>
    <mergeCell ref="A38:N38"/>
  </mergeCells>
  <conditionalFormatting sqref="O14:O30">
    <cfRule type="cellIs" priority="2" operator="equal" aboveAverage="0" equalAverage="0" bottom="0" percent="0" rank="0" text="" dxfId="0">
      <formula>"100%"</formula>
    </cfRule>
  </conditionalFormatting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  <tableParts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274E13"/>
    <pageSetUpPr fitToPage="true"/>
  </sheetPr>
  <dimension ref="A1:M6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3" min="1" style="0" width="14.38"/>
    <col collapsed="false" customWidth="true" hidden="false" outlineLevel="0" max="26" min="14" style="0" width="8.75"/>
    <col collapsed="false" customWidth="true" hidden="false" outlineLevel="0" max="1025" min="27" style="0" width="12.63"/>
  </cols>
  <sheetData>
    <row r="1" customFormat="false" ht="15" hidden="false" customHeight="false" outlineLevel="0" collapsed="false">
      <c r="A1" s="163"/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customFormat="false" ht="15" hidden="false" customHeight="false" outlineLevel="0" collapsed="false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customFormat="false" ht="15" hidden="false" customHeight="true" outlineLevel="0" collapsed="false">
      <c r="A3" s="3"/>
      <c r="C3" s="4"/>
      <c r="D3" s="4"/>
      <c r="E3" s="5" t="s">
        <v>0</v>
      </c>
      <c r="F3" s="5"/>
      <c r="G3" s="5"/>
      <c r="H3" s="5"/>
      <c r="I3" s="154"/>
      <c r="J3" s="127"/>
      <c r="K3" s="127"/>
      <c r="L3" s="127"/>
      <c r="M3" s="127"/>
    </row>
    <row r="4" customFormat="false" ht="15" hidden="false" customHeight="true" outlineLevel="0" collapsed="false">
      <c r="A4" s="3"/>
      <c r="C4" s="4"/>
      <c r="D4" s="4"/>
      <c r="E4" s="7" t="s">
        <v>1</v>
      </c>
      <c r="F4" s="7"/>
      <c r="G4" s="7"/>
      <c r="H4" s="7"/>
      <c r="I4" s="154"/>
      <c r="J4" s="127"/>
      <c r="K4" s="127"/>
      <c r="L4" s="165"/>
      <c r="M4" s="166"/>
    </row>
    <row r="5" customFormat="false" ht="15" hidden="false" customHeight="true" outlineLevel="0" collapsed="false">
      <c r="A5" s="3"/>
      <c r="C5" s="4"/>
      <c r="D5" s="4"/>
      <c r="E5" s="5" t="s">
        <v>3</v>
      </c>
      <c r="F5" s="5"/>
      <c r="G5" s="5"/>
      <c r="H5" s="5"/>
      <c r="I5" s="154"/>
      <c r="J5" s="127"/>
      <c r="K5" s="127"/>
      <c r="L5" s="167"/>
      <c r="M5" s="167"/>
    </row>
    <row r="6" customFormat="false" ht="15" hidden="false" customHeight="true" outlineLevel="0" collapsed="false">
      <c r="A6" s="3"/>
      <c r="C6" s="4"/>
      <c r="D6" s="4"/>
      <c r="E6" s="11" t="s">
        <v>4</v>
      </c>
      <c r="F6" s="11"/>
      <c r="G6" s="11"/>
      <c r="H6" s="11"/>
      <c r="I6" s="129"/>
      <c r="L6" s="168"/>
      <c r="M6" s="169"/>
    </row>
    <row r="7" customFormat="false" ht="15" hidden="false" customHeight="true" outlineLevel="0" collapsed="false">
      <c r="A7" s="3"/>
      <c r="C7" s="4"/>
      <c r="D7" s="4"/>
      <c r="E7" s="7" t="s">
        <v>6</v>
      </c>
      <c r="F7" s="7"/>
      <c r="G7" s="7"/>
      <c r="H7" s="7"/>
      <c r="I7" s="129"/>
      <c r="L7" s="168"/>
      <c r="M7" s="170"/>
    </row>
    <row r="8" customFormat="false" ht="13.5" hidden="false" customHeight="true" outlineLevel="0" collapsed="false">
      <c r="A8" s="3"/>
      <c r="C8" s="4"/>
      <c r="D8" s="4"/>
      <c r="E8" s="17" t="s">
        <v>8</v>
      </c>
      <c r="F8" s="17"/>
      <c r="G8" s="17"/>
      <c r="H8" s="17"/>
      <c r="I8" s="129"/>
      <c r="J8" s="127"/>
      <c r="K8" s="127"/>
      <c r="L8" s="127"/>
      <c r="M8" s="127"/>
    </row>
    <row r="9" customFormat="false" ht="15" hidden="false" customHeight="true" outlineLevel="0" collapsed="false">
      <c r="A9" s="3"/>
      <c r="C9" s="4"/>
      <c r="D9" s="4"/>
      <c r="E9" s="19" t="s">
        <v>9</v>
      </c>
      <c r="F9" s="19"/>
      <c r="G9" s="19"/>
      <c r="H9" s="19"/>
      <c r="I9" s="154"/>
      <c r="J9" s="127"/>
      <c r="K9" s="127"/>
      <c r="L9" s="127"/>
      <c r="M9" s="127"/>
    </row>
    <row r="10" customFormat="false" ht="15" hidden="false" customHeight="false" outlineLevel="0" collapsed="false">
      <c r="A10" s="171"/>
      <c r="B10" s="171"/>
      <c r="C10" s="171"/>
      <c r="D10" s="171"/>
      <c r="E10" s="171"/>
      <c r="F10" s="171"/>
      <c r="G10" s="171"/>
      <c r="H10" s="171"/>
      <c r="I10" s="171"/>
      <c r="J10" s="171"/>
      <c r="K10" s="171"/>
    </row>
    <row r="11" customFormat="false" ht="15" hidden="false" customHeight="false" outlineLevel="0" collapsed="false">
      <c r="A11" s="163" t="s">
        <v>1028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</row>
    <row r="12" customFormat="false" ht="15" hidden="false" customHeight="false" outlineLevel="0" collapsed="false">
      <c r="A12" s="172" t="s">
        <v>1029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</row>
    <row r="13" customFormat="false" ht="15" hidden="false" customHeight="false" outlineLevel="0" collapsed="false">
      <c r="A13" s="172" t="s">
        <v>10</v>
      </c>
      <c r="B13" s="172" t="s">
        <v>1030</v>
      </c>
      <c r="C13" s="172"/>
      <c r="D13" s="172"/>
      <c r="E13" s="172" t="s">
        <v>1031</v>
      </c>
      <c r="F13" s="172" t="s">
        <v>1032</v>
      </c>
      <c r="G13" s="172" t="s">
        <v>1033</v>
      </c>
      <c r="H13" s="172" t="s">
        <v>1034</v>
      </c>
      <c r="I13" s="172" t="s">
        <v>1035</v>
      </c>
      <c r="J13" s="172"/>
      <c r="K13" s="172"/>
    </row>
    <row r="14" customFormat="false" ht="15" hidden="false" customHeight="false" outlineLevel="0" collapsed="false">
      <c r="A14" s="172"/>
      <c r="B14" s="172"/>
      <c r="C14" s="172"/>
      <c r="D14" s="172"/>
      <c r="E14" s="172"/>
      <c r="F14" s="172"/>
      <c r="G14" s="172"/>
      <c r="H14" s="172"/>
      <c r="I14" s="172" t="s">
        <v>1036</v>
      </c>
      <c r="J14" s="172" t="s">
        <v>1037</v>
      </c>
      <c r="K14" s="172" t="s">
        <v>1038</v>
      </c>
    </row>
    <row r="15" customFormat="false" ht="15" hidden="false" customHeight="false" outlineLevel="0" collapsed="false">
      <c r="A15" s="173" t="n">
        <v>1</v>
      </c>
      <c r="B15" s="174" t="s">
        <v>1039</v>
      </c>
      <c r="C15" s="174"/>
      <c r="D15" s="174"/>
      <c r="E15" s="175"/>
      <c r="F15" s="176" t="n">
        <v>0.03</v>
      </c>
      <c r="G15" s="175"/>
      <c r="H15" s="173" t="s">
        <v>1040</v>
      </c>
      <c r="I15" s="177" t="n">
        <v>0.03</v>
      </c>
      <c r="J15" s="177" t="n">
        <v>0.04</v>
      </c>
      <c r="K15" s="177" t="n">
        <v>0.055</v>
      </c>
    </row>
    <row r="16" customFormat="false" ht="15" hidden="false" customHeight="false" outlineLevel="0" collapsed="false">
      <c r="A16" s="173" t="n">
        <v>2</v>
      </c>
      <c r="B16" s="174" t="s">
        <v>1041</v>
      </c>
      <c r="C16" s="174"/>
      <c r="D16" s="174"/>
      <c r="E16" s="175"/>
      <c r="F16" s="176" t="n">
        <v>0.008</v>
      </c>
      <c r="G16" s="175"/>
      <c r="H16" s="173" t="s">
        <v>1040</v>
      </c>
      <c r="I16" s="177" t="n">
        <v>0.008</v>
      </c>
      <c r="J16" s="177" t="n">
        <v>0.008</v>
      </c>
      <c r="K16" s="177" t="n">
        <v>0.01</v>
      </c>
    </row>
    <row r="17" customFormat="false" ht="15" hidden="false" customHeight="false" outlineLevel="0" collapsed="false">
      <c r="A17" s="173" t="n">
        <v>3</v>
      </c>
      <c r="B17" s="174" t="s">
        <v>1042</v>
      </c>
      <c r="C17" s="174"/>
      <c r="D17" s="174"/>
      <c r="E17" s="175"/>
      <c r="F17" s="176" t="n">
        <v>0.0097</v>
      </c>
      <c r="G17" s="175"/>
      <c r="H17" s="173" t="s">
        <v>1040</v>
      </c>
      <c r="I17" s="177" t="n">
        <v>0.0097</v>
      </c>
      <c r="J17" s="177" t="n">
        <v>0.0127</v>
      </c>
      <c r="K17" s="177" t="n">
        <v>0.0127</v>
      </c>
    </row>
    <row r="18" customFormat="false" ht="15" hidden="false" customHeight="false" outlineLevel="0" collapsed="false">
      <c r="A18" s="173" t="n">
        <v>4</v>
      </c>
      <c r="B18" s="174" t="s">
        <v>1043</v>
      </c>
      <c r="C18" s="174"/>
      <c r="D18" s="174"/>
      <c r="E18" s="175"/>
      <c r="F18" s="176" t="n">
        <v>0.0059</v>
      </c>
      <c r="G18" s="175"/>
      <c r="H18" s="173" t="s">
        <v>1040</v>
      </c>
      <c r="I18" s="177" t="n">
        <v>0.0059</v>
      </c>
      <c r="J18" s="177" t="n">
        <v>0.0123</v>
      </c>
      <c r="K18" s="177" t="n">
        <v>0.0139</v>
      </c>
    </row>
    <row r="19" customFormat="false" ht="15" hidden="false" customHeight="false" outlineLevel="0" collapsed="false">
      <c r="A19" s="173" t="n">
        <v>5</v>
      </c>
      <c r="B19" s="174" t="s">
        <v>1044</v>
      </c>
      <c r="C19" s="174"/>
      <c r="D19" s="174"/>
      <c r="E19" s="175"/>
      <c r="F19" s="176" t="n">
        <v>0.06245</v>
      </c>
      <c r="G19" s="175"/>
      <c r="H19" s="173" t="s">
        <v>1040</v>
      </c>
      <c r="I19" s="177" t="n">
        <v>0.0616</v>
      </c>
      <c r="J19" s="177" t="n">
        <v>0.074</v>
      </c>
      <c r="K19" s="177" t="n">
        <v>0.0896</v>
      </c>
    </row>
    <row r="20" customFormat="false" ht="15" hidden="false" customHeight="false" outlineLevel="0" collapsed="false">
      <c r="A20" s="173" t="n">
        <v>6</v>
      </c>
      <c r="B20" s="174" t="s">
        <v>1045</v>
      </c>
      <c r="C20" s="174"/>
      <c r="D20" s="174"/>
      <c r="E20" s="175"/>
      <c r="F20" s="176" t="n">
        <f aca="false">SUM(F21:F24)</f>
        <v>0.1115</v>
      </c>
      <c r="G20" s="178" t="s">
        <v>1046</v>
      </c>
      <c r="H20" s="178"/>
      <c r="I20" s="178"/>
      <c r="J20" s="178"/>
      <c r="K20" s="178"/>
    </row>
    <row r="21" customFormat="false" ht="15.75" hidden="false" customHeight="true" outlineLevel="0" collapsed="false">
      <c r="A21" s="179" t="n">
        <v>43836</v>
      </c>
      <c r="B21" s="174" t="s">
        <v>1047</v>
      </c>
      <c r="C21" s="174"/>
      <c r="D21" s="174"/>
      <c r="E21" s="174"/>
      <c r="F21" s="176" t="n">
        <v>0.0065</v>
      </c>
      <c r="G21" s="178"/>
      <c r="H21" s="178"/>
      <c r="I21" s="178"/>
      <c r="J21" s="178"/>
      <c r="K21" s="178"/>
    </row>
    <row r="22" customFormat="false" ht="15.75" hidden="false" customHeight="true" outlineLevel="0" collapsed="false">
      <c r="A22" s="179" t="n">
        <v>43867</v>
      </c>
      <c r="B22" s="174" t="s">
        <v>1048</v>
      </c>
      <c r="C22" s="174"/>
      <c r="D22" s="174"/>
      <c r="E22" s="174"/>
      <c r="F22" s="176" t="n">
        <v>0.03</v>
      </c>
      <c r="G22" s="178"/>
      <c r="H22" s="178"/>
      <c r="I22" s="178"/>
      <c r="J22" s="178"/>
      <c r="K22" s="178"/>
    </row>
    <row r="23" customFormat="false" ht="15.75" hidden="false" customHeight="true" outlineLevel="0" collapsed="false">
      <c r="A23" s="179" t="n">
        <v>43896</v>
      </c>
      <c r="B23" s="174" t="s">
        <v>1049</v>
      </c>
      <c r="C23" s="174"/>
      <c r="D23" s="174"/>
      <c r="E23" s="174"/>
      <c r="F23" s="176" t="n">
        <v>0.03</v>
      </c>
      <c r="G23" s="178"/>
      <c r="H23" s="178"/>
      <c r="I23" s="178"/>
      <c r="J23" s="178"/>
      <c r="K23" s="178"/>
    </row>
    <row r="24" customFormat="false" ht="15.75" hidden="false" customHeight="true" outlineLevel="0" collapsed="false">
      <c r="A24" s="179" t="n">
        <v>43927</v>
      </c>
      <c r="B24" s="174" t="s">
        <v>1050</v>
      </c>
      <c r="C24" s="174"/>
      <c r="D24" s="174"/>
      <c r="E24" s="174"/>
      <c r="F24" s="176" t="n">
        <v>0.045</v>
      </c>
      <c r="G24" s="178"/>
      <c r="H24" s="178"/>
      <c r="I24" s="178"/>
      <c r="J24" s="178"/>
      <c r="K24" s="178"/>
    </row>
    <row r="25" customFormat="false" ht="15.75" hidden="false" customHeight="true" outlineLevel="0" collapsed="false">
      <c r="A25" s="180"/>
      <c r="B25" s="180"/>
      <c r="C25" s="180"/>
      <c r="D25" s="180"/>
      <c r="E25" s="180"/>
      <c r="F25" s="180"/>
      <c r="G25" s="178"/>
      <c r="H25" s="178"/>
      <c r="I25" s="178"/>
      <c r="J25" s="178"/>
      <c r="K25" s="178"/>
    </row>
    <row r="26" customFormat="false" ht="15.75" hidden="false" customHeight="true" outlineLevel="0" collapsed="false">
      <c r="A26" s="172" t="s">
        <v>1051</v>
      </c>
      <c r="B26" s="172"/>
      <c r="C26" s="172"/>
      <c r="D26" s="172"/>
      <c r="E26" s="175"/>
      <c r="F26" s="175"/>
      <c r="G26" s="178"/>
      <c r="H26" s="178"/>
      <c r="I26" s="178"/>
      <c r="J26" s="178"/>
      <c r="K26" s="178"/>
    </row>
    <row r="27" customFormat="false" ht="15.75" hidden="false" customHeight="true" outlineLevel="0" collapsed="false">
      <c r="A27" s="172" t="s">
        <v>1052</v>
      </c>
      <c r="B27" s="172"/>
      <c r="C27" s="172"/>
      <c r="D27" s="172"/>
      <c r="E27" s="175"/>
      <c r="F27" s="175"/>
      <c r="G27" s="174" t="s">
        <v>1053</v>
      </c>
      <c r="H27" s="174"/>
      <c r="I27" s="174"/>
      <c r="J27" s="174"/>
      <c r="K27" s="174"/>
    </row>
    <row r="28" customFormat="false" ht="15.75" hidden="false" customHeight="true" outlineLevel="0" collapsed="false">
      <c r="A28" s="172" t="s">
        <v>1054</v>
      </c>
      <c r="B28" s="172"/>
      <c r="C28" s="172"/>
      <c r="D28" s="172"/>
      <c r="E28" s="172"/>
      <c r="F28" s="176" t="n">
        <f aca="false">(((1+(F15+F16+F17))*(1+F18)*(1+F19))/(1-F20))-1</f>
        <v>0.260209707713562</v>
      </c>
      <c r="G28" s="174" t="s">
        <v>1055</v>
      </c>
      <c r="H28" s="174"/>
      <c r="I28" s="174"/>
      <c r="J28" s="174"/>
      <c r="K28" s="174"/>
    </row>
    <row r="29" customFormat="false" ht="15.75" hidden="false" customHeight="true" outlineLevel="0" collapsed="false">
      <c r="A29" s="180"/>
      <c r="B29" s="180"/>
      <c r="C29" s="180"/>
      <c r="D29" s="180"/>
      <c r="E29" s="180"/>
      <c r="F29" s="180"/>
      <c r="G29" s="174" t="s">
        <v>1056</v>
      </c>
      <c r="H29" s="174"/>
      <c r="I29" s="174"/>
      <c r="J29" s="174"/>
      <c r="K29" s="174"/>
    </row>
    <row r="30" customFormat="false" ht="15.75" hidden="false" customHeight="true" outlineLevel="0" collapsed="false">
      <c r="A30" s="180"/>
      <c r="B30" s="180"/>
      <c r="C30" s="180"/>
      <c r="D30" s="180"/>
      <c r="E30" s="180"/>
      <c r="F30" s="180"/>
      <c r="G30" s="174" t="s">
        <v>1057</v>
      </c>
      <c r="H30" s="174"/>
      <c r="I30" s="174"/>
      <c r="J30" s="174"/>
      <c r="K30" s="174"/>
    </row>
    <row r="31" customFormat="false" ht="15.75" hidden="false" customHeight="true" outlineLevel="0" collapsed="false">
      <c r="A31" s="180"/>
      <c r="B31" s="180"/>
      <c r="C31" s="180"/>
      <c r="D31" s="180"/>
      <c r="E31" s="180"/>
      <c r="F31" s="180"/>
      <c r="G31" s="174" t="s">
        <v>1058</v>
      </c>
      <c r="H31" s="174"/>
      <c r="I31" s="174"/>
      <c r="J31" s="174"/>
      <c r="K31" s="174"/>
    </row>
    <row r="32" customFormat="false" ht="15.75" hidden="false" customHeight="true" outlineLevel="0" collapsed="false">
      <c r="A32" s="180"/>
      <c r="B32" s="180"/>
      <c r="C32" s="180"/>
      <c r="D32" s="180"/>
      <c r="E32" s="180"/>
      <c r="F32" s="180"/>
      <c r="G32" s="174" t="s">
        <v>1059</v>
      </c>
      <c r="H32" s="174"/>
      <c r="I32" s="174"/>
      <c r="J32" s="174"/>
      <c r="K32" s="174"/>
    </row>
    <row r="33" customFormat="false" ht="15.75" hidden="false" customHeight="true" outlineLevel="0" collapsed="false">
      <c r="A33" s="180"/>
      <c r="B33" s="180"/>
      <c r="C33" s="180"/>
      <c r="D33" s="180"/>
      <c r="E33" s="180"/>
      <c r="F33" s="180"/>
      <c r="G33" s="174" t="s">
        <v>1060</v>
      </c>
      <c r="H33" s="174"/>
      <c r="I33" s="174"/>
      <c r="J33" s="174"/>
      <c r="K33" s="174"/>
    </row>
    <row r="34" customFormat="false" ht="15.75" hidden="false" customHeight="true" outlineLevel="0" collapsed="false">
      <c r="A34" s="180"/>
      <c r="B34" s="180"/>
      <c r="C34" s="180"/>
      <c r="D34" s="180"/>
      <c r="E34" s="180"/>
      <c r="F34" s="180"/>
      <c r="G34" s="174" t="s">
        <v>1061</v>
      </c>
      <c r="H34" s="174"/>
      <c r="I34" s="174"/>
      <c r="J34" s="174"/>
      <c r="K34" s="174"/>
    </row>
    <row r="35" customFormat="false" ht="15.75" hidden="false" customHeight="true" outlineLevel="0" collapsed="false">
      <c r="A35" s="180"/>
      <c r="B35" s="180"/>
      <c r="C35" s="180"/>
      <c r="D35" s="180"/>
      <c r="E35" s="180"/>
      <c r="F35" s="180"/>
      <c r="G35" s="180"/>
      <c r="H35" s="180"/>
      <c r="I35" s="180"/>
      <c r="J35" s="180"/>
      <c r="K35" s="180"/>
    </row>
    <row r="36" customFormat="false" ht="15.75" hidden="false" customHeight="true" outlineLevel="0" collapsed="false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</row>
    <row r="37" customFormat="false" ht="15.75" hidden="false" customHeight="true" outlineLevel="0" collapsed="false">
      <c r="A37" s="175"/>
      <c r="B37" s="175"/>
      <c r="C37" s="175"/>
      <c r="D37" s="175"/>
      <c r="E37" s="175"/>
      <c r="F37" s="175"/>
      <c r="G37" s="175"/>
      <c r="H37" s="175"/>
      <c r="I37" s="175"/>
      <c r="J37" s="175"/>
      <c r="K37" s="175"/>
    </row>
    <row r="38" customFormat="false" ht="15.75" hidden="false" customHeight="true" outlineLevel="0" collapsed="false">
      <c r="A38" s="181" t="s">
        <v>1062</v>
      </c>
      <c r="B38" s="181"/>
      <c r="C38" s="181"/>
      <c r="D38" s="181"/>
      <c r="E38" s="181"/>
      <c r="F38" s="181"/>
      <c r="G38" s="181"/>
      <c r="H38" s="181"/>
      <c r="I38" s="181"/>
      <c r="J38" s="181"/>
      <c r="K38" s="181"/>
    </row>
    <row r="39" customFormat="false" ht="15.75" hidden="false" customHeight="true" outlineLevel="0" collapsed="false">
      <c r="A39" s="172" t="s">
        <v>1029</v>
      </c>
      <c r="B39" s="172"/>
      <c r="C39" s="172"/>
      <c r="D39" s="172"/>
      <c r="E39" s="172"/>
      <c r="F39" s="172"/>
      <c r="G39" s="172"/>
      <c r="H39" s="172"/>
      <c r="I39" s="172"/>
      <c r="J39" s="172"/>
      <c r="K39" s="172"/>
    </row>
    <row r="40" customFormat="false" ht="15" hidden="false" customHeight="true" outlineLevel="0" collapsed="false">
      <c r="A40" s="172" t="s">
        <v>10</v>
      </c>
      <c r="B40" s="172" t="s">
        <v>1030</v>
      </c>
      <c r="C40" s="172"/>
      <c r="D40" s="172"/>
      <c r="E40" s="172" t="s">
        <v>1031</v>
      </c>
      <c r="F40" s="172" t="s">
        <v>1032</v>
      </c>
      <c r="G40" s="172" t="s">
        <v>1033</v>
      </c>
      <c r="H40" s="182" t="s">
        <v>1034</v>
      </c>
      <c r="I40" s="172" t="s">
        <v>1035</v>
      </c>
      <c r="J40" s="172"/>
      <c r="K40" s="172"/>
    </row>
    <row r="41" customFormat="false" ht="15.75" hidden="false" customHeight="true" outlineLevel="0" collapsed="false">
      <c r="A41" s="172"/>
      <c r="B41" s="172"/>
      <c r="C41" s="172"/>
      <c r="D41" s="172"/>
      <c r="E41" s="172"/>
      <c r="F41" s="172"/>
      <c r="G41" s="172"/>
      <c r="H41" s="172"/>
      <c r="I41" s="172" t="s">
        <v>1036</v>
      </c>
      <c r="J41" s="172" t="s">
        <v>1037</v>
      </c>
      <c r="K41" s="172" t="s">
        <v>1038</v>
      </c>
    </row>
    <row r="42" customFormat="false" ht="15.75" hidden="false" customHeight="true" outlineLevel="0" collapsed="false">
      <c r="A42" s="173" t="n">
        <v>1</v>
      </c>
      <c r="B42" s="174" t="s">
        <v>1039</v>
      </c>
      <c r="C42" s="174"/>
      <c r="D42" s="174"/>
      <c r="E42" s="175"/>
      <c r="F42" s="183" t="n">
        <v>0.015</v>
      </c>
      <c r="G42" s="175"/>
      <c r="H42" s="173" t="str">
        <f aca="false">IF(AND(F42&gt;=I42,F42&lt;=K42),"OK","DIFERE")</f>
        <v>OK</v>
      </c>
      <c r="I42" s="177" t="n">
        <v>0.015</v>
      </c>
      <c r="J42" s="177" t="n">
        <v>0.0345</v>
      </c>
      <c r="K42" s="177" t="n">
        <v>0.0449</v>
      </c>
    </row>
    <row r="43" customFormat="false" ht="15.75" hidden="false" customHeight="true" outlineLevel="0" collapsed="false">
      <c r="A43" s="173" t="n">
        <v>2</v>
      </c>
      <c r="B43" s="174" t="s">
        <v>1041</v>
      </c>
      <c r="C43" s="174"/>
      <c r="D43" s="174"/>
      <c r="E43" s="175"/>
      <c r="F43" s="176" t="n">
        <v>0.003</v>
      </c>
      <c r="G43" s="175"/>
      <c r="H43" s="173" t="str">
        <f aca="false">IF(AND(F43&gt;=I43,F43&lt;=K43),"OK","DIFERE")</f>
        <v>OK</v>
      </c>
      <c r="I43" s="177" t="n">
        <v>0.003</v>
      </c>
      <c r="J43" s="177" t="n">
        <v>0.0048</v>
      </c>
      <c r="K43" s="177" t="n">
        <v>0.0082</v>
      </c>
    </row>
    <row r="44" customFormat="false" ht="15.75" hidden="false" customHeight="true" outlineLevel="0" collapsed="false">
      <c r="A44" s="173" t="n">
        <v>3</v>
      </c>
      <c r="B44" s="174" t="s">
        <v>1042</v>
      </c>
      <c r="C44" s="174"/>
      <c r="D44" s="174"/>
      <c r="E44" s="175"/>
      <c r="F44" s="176" t="n">
        <v>0.0056</v>
      </c>
      <c r="G44" s="175"/>
      <c r="H44" s="173" t="str">
        <f aca="false">IF(AND(F44&gt;=I44,F44&lt;=K44),"OK","DIFERE")</f>
        <v>OK</v>
      </c>
      <c r="I44" s="177" t="n">
        <v>0.0056</v>
      </c>
      <c r="J44" s="177" t="n">
        <v>0.0085</v>
      </c>
      <c r="K44" s="177" t="n">
        <v>0.0089</v>
      </c>
    </row>
    <row r="45" customFormat="false" ht="15.75" hidden="false" customHeight="true" outlineLevel="0" collapsed="false">
      <c r="A45" s="173" t="n">
        <v>4</v>
      </c>
      <c r="B45" s="174" t="s">
        <v>1043</v>
      </c>
      <c r="C45" s="174"/>
      <c r="D45" s="174"/>
      <c r="E45" s="175"/>
      <c r="F45" s="176" t="n">
        <v>0.0085</v>
      </c>
      <c r="G45" s="175"/>
      <c r="H45" s="173" t="str">
        <f aca="false">IF(AND(F45&gt;=I45,F45&lt;=K45),"OK","DIFERE")</f>
        <v>OK</v>
      </c>
      <c r="I45" s="177" t="n">
        <v>0.0085</v>
      </c>
      <c r="J45" s="177" t="n">
        <v>0.0085</v>
      </c>
      <c r="K45" s="177" t="n">
        <v>0.0111</v>
      </c>
    </row>
    <row r="46" customFormat="false" ht="15.75" hidden="false" customHeight="true" outlineLevel="0" collapsed="false">
      <c r="A46" s="173" t="n">
        <v>5</v>
      </c>
      <c r="B46" s="174" t="s">
        <v>1044</v>
      </c>
      <c r="C46" s="174"/>
      <c r="D46" s="174"/>
      <c r="E46" s="175"/>
      <c r="F46" s="183" t="n">
        <v>0.0352</v>
      </c>
      <c r="G46" s="175"/>
      <c r="H46" s="173" t="str">
        <f aca="false">IF(AND(F46&gt;=I46,F46&lt;=K46),"OK","DIFERE")</f>
        <v>OK</v>
      </c>
      <c r="I46" s="177" t="n">
        <v>0.035</v>
      </c>
      <c r="J46" s="177" t="n">
        <v>0.0511</v>
      </c>
      <c r="K46" s="177" t="n">
        <v>0.0622</v>
      </c>
    </row>
    <row r="47" customFormat="false" ht="15.75" hidden="false" customHeight="true" outlineLevel="0" collapsed="false">
      <c r="A47" s="173" t="n">
        <v>6</v>
      </c>
      <c r="B47" s="174" t="s">
        <v>1045</v>
      </c>
      <c r="C47" s="174"/>
      <c r="D47" s="174"/>
      <c r="E47" s="175"/>
      <c r="F47" s="176" t="n">
        <f aca="false">SUM(F48:F51)</f>
        <v>0.0815</v>
      </c>
      <c r="G47" s="178" t="s">
        <v>1046</v>
      </c>
      <c r="H47" s="178"/>
      <c r="I47" s="178"/>
      <c r="J47" s="178"/>
      <c r="K47" s="178"/>
    </row>
    <row r="48" customFormat="false" ht="15.75" hidden="false" customHeight="true" outlineLevel="0" collapsed="false">
      <c r="A48" s="179" t="n">
        <v>43836</v>
      </c>
      <c r="B48" s="174" t="s">
        <v>1047</v>
      </c>
      <c r="C48" s="174"/>
      <c r="D48" s="174"/>
      <c r="E48" s="174"/>
      <c r="F48" s="176" t="n">
        <v>0.0065</v>
      </c>
      <c r="G48" s="178"/>
      <c r="H48" s="178"/>
      <c r="I48" s="178"/>
      <c r="J48" s="178"/>
      <c r="K48" s="178"/>
    </row>
    <row r="49" customFormat="false" ht="15.75" hidden="false" customHeight="true" outlineLevel="0" collapsed="false">
      <c r="A49" s="179" t="n">
        <v>43867</v>
      </c>
      <c r="B49" s="174" t="s">
        <v>1048</v>
      </c>
      <c r="C49" s="174"/>
      <c r="D49" s="174"/>
      <c r="E49" s="174"/>
      <c r="F49" s="176" t="n">
        <v>0.03</v>
      </c>
      <c r="G49" s="178"/>
      <c r="H49" s="178"/>
      <c r="I49" s="178"/>
      <c r="J49" s="178"/>
      <c r="K49" s="178"/>
    </row>
    <row r="50" customFormat="false" ht="15.75" hidden="false" customHeight="true" outlineLevel="0" collapsed="false">
      <c r="A50" s="179" t="n">
        <v>43896</v>
      </c>
      <c r="B50" s="174" t="s">
        <v>1049</v>
      </c>
      <c r="C50" s="174"/>
      <c r="D50" s="174"/>
      <c r="E50" s="174"/>
      <c r="F50" s="183" t="n">
        <v>0</v>
      </c>
      <c r="G50" s="178"/>
      <c r="H50" s="178"/>
      <c r="I50" s="178"/>
      <c r="J50" s="178"/>
      <c r="K50" s="178"/>
    </row>
    <row r="51" customFormat="false" ht="15.75" hidden="false" customHeight="true" outlineLevel="0" collapsed="false">
      <c r="A51" s="179" t="n">
        <v>43927</v>
      </c>
      <c r="B51" s="174" t="s">
        <v>1050</v>
      </c>
      <c r="C51" s="174"/>
      <c r="D51" s="174"/>
      <c r="E51" s="174"/>
      <c r="F51" s="176" t="n">
        <v>0.045</v>
      </c>
      <c r="G51" s="178"/>
      <c r="H51" s="178"/>
      <c r="I51" s="178"/>
      <c r="J51" s="178"/>
      <c r="K51" s="178"/>
    </row>
    <row r="52" customFormat="false" ht="15.75" hidden="false" customHeight="true" outlineLevel="0" collapsed="false">
      <c r="A52" s="180"/>
      <c r="B52" s="180"/>
      <c r="C52" s="180"/>
      <c r="D52" s="180"/>
      <c r="E52" s="180"/>
      <c r="F52" s="180"/>
      <c r="G52" s="178"/>
      <c r="H52" s="178"/>
      <c r="I52" s="178"/>
      <c r="J52" s="178"/>
      <c r="K52" s="178"/>
    </row>
    <row r="53" customFormat="false" ht="15.75" hidden="false" customHeight="true" outlineLevel="0" collapsed="false">
      <c r="A53" s="172" t="s">
        <v>1051</v>
      </c>
      <c r="B53" s="172"/>
      <c r="C53" s="172"/>
      <c r="D53" s="172"/>
      <c r="E53" s="175"/>
      <c r="F53" s="175"/>
      <c r="G53" s="178"/>
      <c r="H53" s="178"/>
      <c r="I53" s="178"/>
      <c r="J53" s="178"/>
      <c r="K53" s="178"/>
    </row>
    <row r="54" customFormat="false" ht="15.75" hidden="false" customHeight="true" outlineLevel="0" collapsed="false">
      <c r="A54" s="172" t="s">
        <v>1052</v>
      </c>
      <c r="B54" s="172"/>
      <c r="C54" s="172"/>
      <c r="D54" s="172"/>
      <c r="E54" s="175"/>
      <c r="F54" s="175"/>
      <c r="G54" s="174" t="s">
        <v>1053</v>
      </c>
      <c r="H54" s="174"/>
      <c r="I54" s="174"/>
      <c r="J54" s="174"/>
      <c r="K54" s="174"/>
    </row>
    <row r="55" customFormat="false" ht="15.75" hidden="false" customHeight="true" outlineLevel="0" collapsed="false">
      <c r="A55" s="172" t="s">
        <v>1054</v>
      </c>
      <c r="B55" s="172"/>
      <c r="C55" s="172"/>
      <c r="D55" s="172"/>
      <c r="E55" s="172"/>
      <c r="F55" s="176" t="n">
        <f aca="false">(((1+(F42+F43+F44))*(1+F45)*(1+F46))/(1-F47))-1</f>
        <v>0.163459533064779</v>
      </c>
      <c r="G55" s="174" t="s">
        <v>1055</v>
      </c>
      <c r="H55" s="174"/>
      <c r="I55" s="174"/>
      <c r="J55" s="174"/>
      <c r="K55" s="174"/>
    </row>
    <row r="56" customFormat="false" ht="15.75" hidden="false" customHeight="true" outlineLevel="0" collapsed="false">
      <c r="A56" s="98"/>
      <c r="B56" s="98"/>
      <c r="C56" s="98"/>
      <c r="D56" s="98"/>
      <c r="E56" s="98"/>
      <c r="F56" s="184"/>
      <c r="G56" s="174" t="s">
        <v>1056</v>
      </c>
      <c r="H56" s="174"/>
      <c r="I56" s="174"/>
      <c r="J56" s="174"/>
      <c r="K56" s="174"/>
    </row>
    <row r="57" customFormat="false" ht="15.75" hidden="false" customHeight="true" outlineLevel="0" collapsed="false">
      <c r="A57" s="175" t="s">
        <v>1063</v>
      </c>
      <c r="B57" s="175"/>
      <c r="C57" s="175"/>
      <c r="D57" s="175"/>
      <c r="E57" s="98"/>
      <c r="F57" s="184"/>
      <c r="G57" s="174" t="s">
        <v>1057</v>
      </c>
      <c r="H57" s="174"/>
      <c r="I57" s="174"/>
      <c r="J57" s="174"/>
      <c r="K57" s="174"/>
    </row>
    <row r="58" customFormat="false" ht="15.75" hidden="false" customHeight="true" outlineLevel="0" collapsed="false">
      <c r="A58" s="175" t="s">
        <v>1064</v>
      </c>
      <c r="B58" s="185" t="n">
        <v>0.111</v>
      </c>
      <c r="C58" s="185" t="n">
        <v>0.1402</v>
      </c>
      <c r="D58" s="185" t="n">
        <v>0.168</v>
      </c>
      <c r="E58" s="98"/>
      <c r="F58" s="184"/>
      <c r="G58" s="174" t="s">
        <v>1058</v>
      </c>
      <c r="H58" s="174"/>
      <c r="I58" s="174"/>
      <c r="J58" s="174"/>
      <c r="K58" s="174"/>
    </row>
    <row r="59" customFormat="false" ht="15.75" hidden="false" customHeight="true" outlineLevel="0" collapsed="false">
      <c r="A59" s="175" t="s">
        <v>1065</v>
      </c>
      <c r="B59" s="185" t="n">
        <v>0.1634</v>
      </c>
      <c r="C59" s="185" t="n">
        <v>0.1939</v>
      </c>
      <c r="D59" s="185" t="n">
        <v>0.223</v>
      </c>
      <c r="E59" s="98"/>
      <c r="F59" s="184"/>
      <c r="G59" s="174" t="s">
        <v>1059</v>
      </c>
      <c r="H59" s="174"/>
      <c r="I59" s="174"/>
      <c r="J59" s="174"/>
      <c r="K59" s="174"/>
    </row>
    <row r="60" customFormat="false" ht="15.75" hidden="false" customHeight="true" outlineLevel="0" collapsed="false">
      <c r="A60" s="98"/>
      <c r="B60" s="98"/>
      <c r="C60" s="98"/>
      <c r="D60" s="98"/>
      <c r="E60" s="98"/>
      <c r="F60" s="184"/>
      <c r="G60" s="174" t="s">
        <v>1060</v>
      </c>
      <c r="H60" s="174"/>
      <c r="I60" s="174"/>
      <c r="J60" s="174"/>
      <c r="K60" s="174"/>
    </row>
    <row r="61" customFormat="false" ht="15.75" hidden="false" customHeight="true" outlineLevel="0" collapsed="false">
      <c r="A61" s="186"/>
      <c r="B61" s="186"/>
      <c r="C61" s="186"/>
      <c r="D61" s="186"/>
      <c r="E61" s="186"/>
      <c r="F61" s="180"/>
      <c r="G61" s="174" t="s">
        <v>1061</v>
      </c>
      <c r="H61" s="174"/>
      <c r="I61" s="174"/>
      <c r="J61" s="174"/>
      <c r="K61" s="174"/>
    </row>
    <row r="62" customFormat="false" ht="15" hidden="false" customHeight="true" outlineLevel="0" collapsed="false">
      <c r="A62" s="187" t="s">
        <v>1066</v>
      </c>
      <c r="B62" s="187"/>
      <c r="C62" s="187"/>
      <c r="D62" s="187"/>
      <c r="E62" s="187"/>
      <c r="F62" s="187"/>
      <c r="G62" s="187"/>
      <c r="H62" s="187"/>
      <c r="I62" s="187"/>
      <c r="J62" s="187"/>
      <c r="K62" s="187"/>
    </row>
    <row r="63" customFormat="false" ht="15.75" hidden="false" customHeight="true" outlineLevel="0" collapsed="false"/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  <row r="1001" customFormat="false" ht="15.75" hidden="false" customHeight="true" outlineLevel="0" collapsed="false"/>
    <row r="1002" customFormat="false" ht="15.75" hidden="false" customHeight="true" outlineLevel="0" collapsed="false"/>
  </sheetData>
  <mergeCells count="81">
    <mergeCell ref="A1:K1"/>
    <mergeCell ref="A3:A9"/>
    <mergeCell ref="C3:D9"/>
    <mergeCell ref="E3:H3"/>
    <mergeCell ref="E4:H4"/>
    <mergeCell ref="E5:H5"/>
    <mergeCell ref="L5:M5"/>
    <mergeCell ref="E6:H6"/>
    <mergeCell ref="E7:H7"/>
    <mergeCell ref="E8:H8"/>
    <mergeCell ref="E9:H9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B15:D15"/>
    <mergeCell ref="B16:D16"/>
    <mergeCell ref="B17:D17"/>
    <mergeCell ref="B18:D18"/>
    <mergeCell ref="B19:D19"/>
    <mergeCell ref="B20:D20"/>
    <mergeCell ref="G20:K26"/>
    <mergeCell ref="B21:E21"/>
    <mergeCell ref="B22:E22"/>
    <mergeCell ref="B23:E23"/>
    <mergeCell ref="B24:E24"/>
    <mergeCell ref="A25:F25"/>
    <mergeCell ref="A26:D26"/>
    <mergeCell ref="A27:D27"/>
    <mergeCell ref="G27:K27"/>
    <mergeCell ref="A28:E28"/>
    <mergeCell ref="G28:K28"/>
    <mergeCell ref="A29:F34"/>
    <mergeCell ref="G29:K29"/>
    <mergeCell ref="G30:K30"/>
    <mergeCell ref="G31:K31"/>
    <mergeCell ref="G32:K32"/>
    <mergeCell ref="G33:K33"/>
    <mergeCell ref="G34:K34"/>
    <mergeCell ref="A35:K35"/>
    <mergeCell ref="A36:K36"/>
    <mergeCell ref="A37:K37"/>
    <mergeCell ref="A38:K38"/>
    <mergeCell ref="A39:K39"/>
    <mergeCell ref="A40:A41"/>
    <mergeCell ref="B40:D41"/>
    <mergeCell ref="E40:E41"/>
    <mergeCell ref="F40:F41"/>
    <mergeCell ref="G40:G41"/>
    <mergeCell ref="H40:H41"/>
    <mergeCell ref="I40:K40"/>
    <mergeCell ref="B42:D42"/>
    <mergeCell ref="B43:D43"/>
    <mergeCell ref="B44:D44"/>
    <mergeCell ref="B45:D45"/>
    <mergeCell ref="B46:D46"/>
    <mergeCell ref="B47:D47"/>
    <mergeCell ref="G47:K53"/>
    <mergeCell ref="B48:E48"/>
    <mergeCell ref="B49:E49"/>
    <mergeCell ref="B50:E50"/>
    <mergeCell ref="B51:E51"/>
    <mergeCell ref="A52:F52"/>
    <mergeCell ref="A53:D53"/>
    <mergeCell ref="A54:D54"/>
    <mergeCell ref="G54:K54"/>
    <mergeCell ref="A55:E55"/>
    <mergeCell ref="G55:K55"/>
    <mergeCell ref="G56:K56"/>
    <mergeCell ref="A57:D57"/>
    <mergeCell ref="G57:K57"/>
    <mergeCell ref="G58:K58"/>
    <mergeCell ref="G59:K59"/>
    <mergeCell ref="G60:K60"/>
    <mergeCell ref="G61:K61"/>
    <mergeCell ref="A62:K62"/>
  </mergeCells>
  <printOptions headings="false" gridLines="false" gridLinesSet="true" horizontalCentered="true" verticalCentered="tru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LibreOffice/6.0.4.2$Windows_X86_64 LibreOffice_project/9b0d9b32d5dcda91d2f1a96dc04c645c450872bf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  <dc:description/>
  <dc:language>pt-BR</dc:language>
  <cp:lastModifiedBy/>
  <dcterms:modified xsi:type="dcterms:W3CDTF">2022-11-18T16:29:56Z</dcterms:modified>
  <cp:revision>1</cp:revision>
  <dc:subject/>
  <dc:title/>
</cp:coreProperties>
</file>